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5" yWindow="150" windowWidth="15600" windowHeight="8880" activeTab="0"/>
  </bookViews>
  <sheets>
    <sheet name="DATA" sheetId="1" r:id="rId1"/>
    <sheet name="Salary Details" sheetId="2" r:id="rId2"/>
    <sheet name="Income Tax Form" sheetId="3" r:id="rId3"/>
    <sheet name="Form-16(1)" sheetId="4" r:id="rId4"/>
    <sheet name="Form-16(2)" sheetId="5" r:id="rId5"/>
    <sheet name="RENT" sheetId="6" r:id="rId6"/>
    <sheet name="DA" sheetId="7" r:id="rId7"/>
  </sheets>
  <externalReferences>
    <externalReference r:id="rId10"/>
    <externalReference r:id="rId11"/>
  </externalReferences>
  <definedNames>
    <definedName name="employee">'DATA'!$U$50:$Y$55</definedName>
    <definedName name="list">'DATA'!$U$51:$W$54</definedName>
    <definedName name="month">'DATA'!$N$61:$R$62</definedName>
    <definedName name="name">'DATA'!$V$51:$V$54</definedName>
    <definedName name="_xlnm.Print_Area" localSheetId="6">'DA'!$A$4:$O$45</definedName>
    <definedName name="_xlnm.Print_Area" localSheetId="3">'Form-16(1)'!$A$1:$M$61</definedName>
    <definedName name="_xlnm.Print_Area" localSheetId="4">'Form-16(2)'!$A$1:$L$60</definedName>
    <definedName name="_xlnm.Print_Area" localSheetId="2">'Income Tax Form'!$A$1:$K$67</definedName>
    <definedName name="_xlnm.Print_Area" localSheetId="5">'RENT'!$A$1:$I$37</definedName>
    <definedName name="_xlnm.Print_Area" localSheetId="1">'Salary Details'!$A$1:$R$30</definedName>
    <definedName name="rate">'DATA'!$W$51:$W$54</definedName>
  </definedNames>
  <calcPr fullCalcOnLoad="1"/>
</workbook>
</file>

<file path=xl/sharedStrings.xml><?xml version="1.0" encoding="utf-8"?>
<sst xmlns="http://schemas.openxmlformats.org/spreadsheetml/2006/main" count="674" uniqueCount="415">
  <si>
    <t>Incre</t>
  </si>
  <si>
    <t>AAS</t>
  </si>
  <si>
    <t>Promotion</t>
  </si>
  <si>
    <t>No</t>
  </si>
  <si>
    <t>Yes</t>
  </si>
  <si>
    <t>B Pay</t>
  </si>
  <si>
    <t>BPAY</t>
  </si>
  <si>
    <t>B.Pay</t>
  </si>
  <si>
    <t>Bpay</t>
  </si>
  <si>
    <t>PROMOTION</t>
  </si>
  <si>
    <t>SNO</t>
  </si>
  <si>
    <t>Month</t>
  </si>
  <si>
    <t>HRA</t>
  </si>
  <si>
    <t>PAY</t>
  </si>
  <si>
    <t>Before</t>
  </si>
  <si>
    <t>After</t>
  </si>
  <si>
    <t>No Change</t>
  </si>
  <si>
    <t>DA</t>
  </si>
  <si>
    <t>HRA %</t>
  </si>
  <si>
    <t>DA %</t>
  </si>
  <si>
    <t>S.No</t>
  </si>
  <si>
    <t>Pay</t>
  </si>
  <si>
    <t>HMA</t>
  </si>
  <si>
    <t>FPI</t>
  </si>
  <si>
    <t>Addl.</t>
  </si>
  <si>
    <t>Others</t>
  </si>
  <si>
    <t>CCA</t>
  </si>
  <si>
    <t>PHC</t>
  </si>
  <si>
    <t>Gross Total</t>
  </si>
  <si>
    <t>APGLIF</t>
  </si>
  <si>
    <t xml:space="preserve">GIS </t>
  </si>
  <si>
    <t>PT</t>
  </si>
  <si>
    <t>SWF &amp; EWF</t>
  </si>
  <si>
    <t>Total Deductions</t>
  </si>
  <si>
    <t>Other Arrears</t>
  </si>
  <si>
    <t>TOTAL</t>
  </si>
  <si>
    <t>Name of the Employee</t>
  </si>
  <si>
    <t>Gender</t>
  </si>
  <si>
    <t>Male</t>
  </si>
  <si>
    <t>Female</t>
  </si>
  <si>
    <t>Designation</t>
  </si>
  <si>
    <t>Place of working</t>
  </si>
  <si>
    <t>Mandal</t>
  </si>
  <si>
    <t>Basic Pay</t>
  </si>
  <si>
    <t>Addnl</t>
  </si>
  <si>
    <t>Increment month</t>
  </si>
  <si>
    <t>AAS(6/12/18/24) Availed</t>
  </si>
  <si>
    <t xml:space="preserve">HMA </t>
  </si>
  <si>
    <t>HRA Received</t>
  </si>
  <si>
    <t>YES</t>
  </si>
  <si>
    <t>NO</t>
  </si>
  <si>
    <t>PF TYPE</t>
  </si>
  <si>
    <t>ZPPF</t>
  </si>
  <si>
    <t>GPF</t>
  </si>
  <si>
    <t>CPS</t>
  </si>
  <si>
    <t>APGLI Subscription</t>
  </si>
  <si>
    <t>if any change mention Month</t>
  </si>
  <si>
    <t>Changed Subscription</t>
  </si>
  <si>
    <t>APGLI Change</t>
  </si>
  <si>
    <t>National Savings Certificate</t>
  </si>
  <si>
    <t>PLI Annual Premuim</t>
  </si>
  <si>
    <t>Unit Linked Insurance Plan</t>
  </si>
  <si>
    <t xml:space="preserve">5 Years Fixed Deposits </t>
  </si>
  <si>
    <t>Public Provident Fund</t>
  </si>
  <si>
    <t>Not Availed</t>
  </si>
  <si>
    <t>Surrender Leave</t>
  </si>
  <si>
    <t>March</t>
  </si>
  <si>
    <t>April</t>
  </si>
  <si>
    <t>Already</t>
  </si>
  <si>
    <t xml:space="preserve">To be </t>
  </si>
  <si>
    <t>July</t>
  </si>
  <si>
    <t>Aug</t>
  </si>
  <si>
    <t>sep</t>
  </si>
  <si>
    <t>oct</t>
  </si>
  <si>
    <t>nov</t>
  </si>
  <si>
    <t>DIFF</t>
  </si>
  <si>
    <t xml:space="preserve">  if any change mention </t>
  </si>
  <si>
    <t>Changed to</t>
  </si>
  <si>
    <t xml:space="preserve">  PF Subscription</t>
  </si>
  <si>
    <t>If change mention</t>
  </si>
  <si>
    <t>PF Change</t>
  </si>
  <si>
    <t>totaldays</t>
  </si>
  <si>
    <t>AAS for</t>
  </si>
  <si>
    <t>Tobe</t>
  </si>
  <si>
    <t>TOT</t>
  </si>
  <si>
    <t>already</t>
  </si>
  <si>
    <t xml:space="preserve">Change to </t>
  </si>
  <si>
    <t>Interest on Educational Loan</t>
  </si>
  <si>
    <t>Interest on Housing Loan Advance</t>
  </si>
  <si>
    <t>Medical treatment of Handicapped/Dependent</t>
  </si>
  <si>
    <t>Medical Insurance Premium</t>
  </si>
  <si>
    <t>Expenditure on medical treatment</t>
  </si>
  <si>
    <t>Donation of Charitable Institution</t>
  </si>
  <si>
    <t>DDO TAN No</t>
  </si>
  <si>
    <t>DDO Name</t>
  </si>
  <si>
    <t>ZXYZMINCZ</t>
  </si>
  <si>
    <t>DDO Office</t>
  </si>
  <si>
    <t xml:space="preserve">     PAN No</t>
  </si>
  <si>
    <t xml:space="preserve"> PF Type</t>
  </si>
  <si>
    <t>IT Advance Payments</t>
  </si>
  <si>
    <t>Jan,12</t>
  </si>
  <si>
    <t>INCOME TAX RETURN FOR THE YEAR     2011-2012</t>
  </si>
  <si>
    <t xml:space="preserve">GD Nellore </t>
  </si>
  <si>
    <t>PF</t>
  </si>
  <si>
    <t>IF(AND(AA44=1),C12,IF(AND(AA44&lt;=N32-1),O12,C12))</t>
  </si>
  <si>
    <t>APGLI</t>
  </si>
  <si>
    <t>GIS Subscription</t>
  </si>
  <si>
    <t>GIS Change</t>
  </si>
  <si>
    <t>GIS</t>
  </si>
  <si>
    <t>before</t>
  </si>
  <si>
    <t>after</t>
  </si>
  <si>
    <t>ANNEXURE - II</t>
  </si>
  <si>
    <t>Gross Salary………</t>
  </si>
  <si>
    <t>Rs.</t>
  </si>
  <si>
    <t>H.R.A. Exemption as per eligibility U/s. 10(13-A)</t>
  </si>
  <si>
    <t>a)</t>
  </si>
  <si>
    <t>b)</t>
  </si>
  <si>
    <t>c)</t>
  </si>
  <si>
    <t>40% of Salary (Salary means Basic Pay+D.A)</t>
  </si>
  <si>
    <t>Deductions from Salary Income</t>
  </si>
  <si>
    <t>Exemption from Conveyance Allowance U/s. 10(14) (i)</t>
  </si>
  <si>
    <t>Profession Tax U/s 16 (3) B</t>
  </si>
  <si>
    <t>Add: Income From other sources</t>
  </si>
  <si>
    <t>Income from House Property U/s 24(vi)</t>
  </si>
  <si>
    <t>Deductions</t>
  </si>
  <si>
    <t>d)</t>
  </si>
  <si>
    <t>e)</t>
  </si>
  <si>
    <t>f)</t>
  </si>
  <si>
    <t>g)</t>
  </si>
  <si>
    <t>h)</t>
  </si>
  <si>
    <t>E.W.F, &amp; S.W.F</t>
  </si>
  <si>
    <t>TOTAL-----------</t>
  </si>
  <si>
    <t>i)</t>
  </si>
  <si>
    <t>j)</t>
  </si>
  <si>
    <t>k)</t>
  </si>
  <si>
    <t>Education Cess @ 1%</t>
  </si>
  <si>
    <t>Secondary &amp; Higher Education Cess @ 2%</t>
  </si>
  <si>
    <t>Details of Advance Tax Deductions</t>
  </si>
  <si>
    <t>Upto</t>
  </si>
  <si>
    <t>Total Advance Tax    Rs.</t>
  </si>
  <si>
    <t>Tax to be Paid now</t>
  </si>
  <si>
    <t>Signature of the Drawing Officer</t>
  </si>
  <si>
    <t>Signature of the Employee</t>
  </si>
  <si>
    <t>Employee PAN No:</t>
  </si>
  <si>
    <t xml:space="preserve"> HRA received</t>
  </si>
  <si>
    <t>Lived in</t>
  </si>
  <si>
    <t>Actual HRA</t>
  </si>
  <si>
    <t>rent</t>
  </si>
  <si>
    <t>Entertainment Allowance U/s 10(14)</t>
  </si>
  <si>
    <t>-</t>
  </si>
  <si>
    <t>Income Chargeable under the head Salaries (4-5)</t>
  </si>
  <si>
    <t>EWF</t>
  </si>
  <si>
    <t>SWF</t>
  </si>
  <si>
    <t xml:space="preserve">LIC Annual Premiums </t>
  </si>
  <si>
    <t xml:space="preserve">Others if any      </t>
  </si>
  <si>
    <t>Savings U/s 80C (Limited to One lakh) Under chapter IV</t>
  </si>
  <si>
    <t>Total Savings(a+b+c+d+e+f+g+h+i+j+k)</t>
  </si>
  <si>
    <t>Tax Payable Amount</t>
  </si>
  <si>
    <t>NIL</t>
  </si>
  <si>
    <t>Total Tax Payable (17+18+19)</t>
  </si>
  <si>
    <t>Nil</t>
  </si>
  <si>
    <t>HYD 06257G</t>
  </si>
  <si>
    <t>Own</t>
  </si>
  <si>
    <t>Rented</t>
  </si>
  <si>
    <t>EL</t>
  </si>
  <si>
    <t>DAYS</t>
  </si>
  <si>
    <t>Dept</t>
  </si>
  <si>
    <t>Vacation Dept</t>
  </si>
  <si>
    <t>Non-Vacation Dept</t>
  </si>
  <si>
    <t>Certificate under section 203 of the Income-tax Act, 1961                                                                                                                    for Tax deducted at source from income chargeable under the head "Salaries"</t>
  </si>
  <si>
    <t>NAME AND DESIGNATION OF THE EMPLOYEE</t>
  </si>
  <si>
    <t>TAN No. of DDO</t>
  </si>
  <si>
    <t>HYDM 06257 G</t>
  </si>
  <si>
    <t>PAN oF Employee</t>
  </si>
  <si>
    <t>Acknowledgement Nos. of all quarterly statements of TDS under sub-section 200 as provided by TIN Facilitation Center or NSDL web-site.</t>
  </si>
  <si>
    <t>Quarter</t>
  </si>
  <si>
    <t>Acknowledgement No.</t>
  </si>
  <si>
    <t>Period</t>
  </si>
  <si>
    <t>Assessment</t>
  </si>
  <si>
    <t>From</t>
  </si>
  <si>
    <t>To</t>
  </si>
  <si>
    <t>Year</t>
  </si>
  <si>
    <t>DETAILS OF SALARY PAID AND ANY OTHER INCOME AND TAX DEDUCTED</t>
  </si>
  <si>
    <t>Gross Salary</t>
  </si>
  <si>
    <t>Salary as per provisions cotained in section 17 (1)</t>
  </si>
  <si>
    <t>Value of percuisites under section 17(2)</t>
  </si>
  <si>
    <t>(As Per Form No. 12BA, Wherever applicable)</t>
  </si>
  <si>
    <t>Profits in lieu of salary under section 17(3)</t>
  </si>
  <si>
    <t>(as per Form No. 12BA, Wherver applicable)</t>
  </si>
  <si>
    <t>Total</t>
  </si>
  <si>
    <t>Less: Allowance to the extent exempted U/s 10</t>
  </si>
  <si>
    <t>House Rent Allowence</t>
  </si>
  <si>
    <t>Other Allowance</t>
  </si>
  <si>
    <t>Balance (1-2)</t>
  </si>
  <si>
    <t>Entertainment Allowence</t>
  </si>
  <si>
    <t>Tax on Employment</t>
  </si>
  <si>
    <t>Aggreate of 4 (a)&amp;(b)</t>
  </si>
  <si>
    <t>INCOME CHARGEABLE UNDER THE HEAD SALARIES (3-5)</t>
  </si>
  <si>
    <t>Add: Any other income reported by the employee</t>
  </si>
  <si>
    <t>Add: Income of Capital Gains</t>
  </si>
  <si>
    <t>Less:Interest on Housing Loan U/s 24(b)</t>
  </si>
  <si>
    <t>Gross Total Income (6+7)</t>
  </si>
  <si>
    <t>Deductions Under Chapter VI-A</t>
  </si>
  <si>
    <t>A)</t>
  </si>
  <si>
    <t>UnderSection 80C,80CCC,80CCD.</t>
  </si>
  <si>
    <t>Gross</t>
  </si>
  <si>
    <t>Qualifying</t>
  </si>
  <si>
    <t>Deductible</t>
  </si>
  <si>
    <t>Section 80C</t>
  </si>
  <si>
    <t>Amount</t>
  </si>
  <si>
    <t>i</t>
  </si>
  <si>
    <t>G.P.F</t>
  </si>
  <si>
    <t>ii</t>
  </si>
  <si>
    <t>A.P.G.L.I</t>
  </si>
  <si>
    <t>iii</t>
  </si>
  <si>
    <t>G.I.S</t>
  </si>
  <si>
    <t>iv</t>
  </si>
  <si>
    <t>v</t>
  </si>
  <si>
    <t>vi</t>
  </si>
  <si>
    <t>vii</t>
  </si>
  <si>
    <t>viii</t>
  </si>
  <si>
    <t>ix</t>
  </si>
  <si>
    <t>x</t>
  </si>
  <si>
    <t>xi</t>
  </si>
  <si>
    <t>Others       (0)</t>
  </si>
  <si>
    <t>Total Under Section 80C…</t>
  </si>
  <si>
    <t>Section 80CCC</t>
  </si>
  <si>
    <t>LIC / UTI  etc. Pension funds</t>
  </si>
  <si>
    <t>Section 80CCD</t>
  </si>
  <si>
    <t>Contribution to Pension Fund</t>
  </si>
  <si>
    <t>Note:</t>
  </si>
  <si>
    <t>1.aggregate amount deductible under section 80c shall not exceed one lakh rupees.</t>
  </si>
  <si>
    <t>2.aggregate amount deductible under section 80C,80CCC,80CCD, shall not exceed one lakh rupees.</t>
  </si>
  <si>
    <r>
      <t>FORM No. 16</t>
    </r>
    <r>
      <rPr>
        <sz val="18"/>
        <rFont val="Book Antiqua"/>
        <family val="1"/>
      </rPr>
      <t xml:space="preserve">  </t>
    </r>
    <r>
      <rPr>
        <sz val="16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Book Antiqua"/>
        <family val="1"/>
      </rPr>
      <t xml:space="preserve"> ( Vide rule 31(1)(a) of Income Tax Rules, 1962 )</t>
    </r>
  </si>
  <si>
    <r>
      <t>Aggrigate Amount Deductible Under 3 Sections</t>
    </r>
    <r>
      <rPr>
        <sz val="11"/>
        <rFont val="Book Antiqua"/>
        <family val="1"/>
      </rPr>
      <t>………………………………………………….</t>
    </r>
  </si>
  <si>
    <t>DDO Designation</t>
  </si>
  <si>
    <t>NAME AND ADDRESS OF THE DEDUCTOR</t>
  </si>
  <si>
    <t>G.D Nellore</t>
  </si>
  <si>
    <t>Other Sections Under Chapter VI A</t>
  </si>
  <si>
    <t>( Under Sections 80E,80G,80DD etc )</t>
  </si>
  <si>
    <t>Total Under Sections 80G,80E,80DD etc…..</t>
  </si>
  <si>
    <t>Aggregate of Deductible Amounts U/Chapter VIA (A+B)………</t>
  </si>
  <si>
    <t>TOTAL INCOME  (8-10)</t>
  </si>
  <si>
    <t>TAX ON TOTAL INCOME Rs.</t>
  </si>
  <si>
    <t>Education Cess @ 1% (On Tax at  S.No.12 )</t>
  </si>
  <si>
    <t>Secondary and Higher Education Cess @ 2% (On Tax at  S.No.12 )</t>
  </si>
  <si>
    <t>TAX PAYABLE (12+13+14)</t>
  </si>
  <si>
    <t>Relief under section 89 (attach details)</t>
  </si>
  <si>
    <t>TAX PAYABLE (15-16)</t>
  </si>
  <si>
    <r>
      <t>Less</t>
    </r>
    <r>
      <rPr>
        <sz val="10"/>
        <rFont val="Book Antiqua"/>
        <family val="1"/>
      </rPr>
      <t>:(a) Tax deducted at source U/s 192(1)</t>
    </r>
  </si>
  <si>
    <t xml:space="preserve"> (b)Tax paid by the employer on behalf of the</t>
  </si>
  <si>
    <t xml:space="preserve">     Employee U/S 192 (1A) on perquisited U/S 17 (2)</t>
  </si>
  <si>
    <t>TAX PAYABLE / REFUNDABLE (17-18)</t>
  </si>
  <si>
    <t>DETAILS OF TAX DEDUCTED AND DEPOSITED INTO CENTRAL GOVERNMENT ACCOUNT</t>
  </si>
  <si>
    <t>(The employer is to provide tranction - wise details of tax deducted and deposited)</t>
  </si>
  <si>
    <t>Sl.</t>
  </si>
  <si>
    <t>TDS</t>
  </si>
  <si>
    <t>Surcharge</t>
  </si>
  <si>
    <t>Education</t>
  </si>
  <si>
    <t>Total Tax</t>
  </si>
  <si>
    <t>Cheque/DD</t>
  </si>
  <si>
    <t>BSR Code</t>
  </si>
  <si>
    <t xml:space="preserve">Date on </t>
  </si>
  <si>
    <t>Transfer</t>
  </si>
  <si>
    <t>No.</t>
  </si>
  <si>
    <t>Cess</t>
  </si>
  <si>
    <t>Deposited</t>
  </si>
  <si>
    <t>No. (if any)</t>
  </si>
  <si>
    <t>of Bank</t>
  </si>
  <si>
    <t>Which Tax</t>
  </si>
  <si>
    <t>vocher/chalana</t>
  </si>
  <si>
    <t>Branch</t>
  </si>
  <si>
    <t>Identification No</t>
  </si>
  <si>
    <t>Sign--</t>
  </si>
  <si>
    <t>Place:</t>
  </si>
  <si>
    <t>Signature of the person responsible for deduction of tax</t>
  </si>
  <si>
    <t>Date:</t>
  </si>
  <si>
    <t>Full Name--</t>
  </si>
  <si>
    <t>Designation-</t>
  </si>
  <si>
    <t>Software developed by S.Seshadri,SA(MM),ZPHS-MD Mangalam,GD Nellore,Chittoor(Dist) Visit: www.apteacher.net</t>
  </si>
  <si>
    <t>Signature of the DDO</t>
  </si>
  <si>
    <t>Chil Edn Fee Con..</t>
  </si>
  <si>
    <r>
      <t xml:space="preserve">Visit for more teacher related softwares </t>
    </r>
    <r>
      <rPr>
        <b/>
        <sz val="11"/>
        <color indexed="8"/>
        <rFont val="Calibri"/>
        <family val="2"/>
      </rPr>
      <t>www.apteacher.net</t>
    </r>
  </si>
  <si>
    <t>www.apteacher.net</t>
  </si>
  <si>
    <t>Feel free to contact if any errors in the software. Your suggessions would help to update software in next verson</t>
  </si>
  <si>
    <t>Gross Total Income  [6+7(a)-7(b)]</t>
  </si>
  <si>
    <t>Expenditure on medical treatment    Rs</t>
  </si>
  <si>
    <t>Medical Insurance Premium          Rs</t>
  </si>
  <si>
    <t>Donation of Charitable Institution       Rs</t>
  </si>
  <si>
    <t>Interest on Educational Loan         Rs</t>
  </si>
  <si>
    <t>Interest on Housing Loan Advance      Rs</t>
  </si>
  <si>
    <t>Repayment of Home Loan Premium</t>
  </si>
  <si>
    <t>Tution Fee for 2 Chidren</t>
  </si>
  <si>
    <t>Others U/s 80 C</t>
  </si>
  <si>
    <t>Software prepared by:</t>
  </si>
  <si>
    <t>Medical treatment U/s                   Rs</t>
  </si>
  <si>
    <t>Maintaince and expenditure treatment for disabled dependent                       Rs</t>
  </si>
  <si>
    <t>Long Term Savings 80CCF(infrastucture bonds)</t>
  </si>
  <si>
    <t>Investment in long term infrastructure bonds Us 80CCF</t>
  </si>
  <si>
    <t>Education Fee  concession</t>
  </si>
  <si>
    <t>Programme develped by S.Seshadri (S.A Maths),ZPHS-MD Mangalam, GD Nellore,Chittoor  Visit:www.apteacher.net</t>
  </si>
  <si>
    <t>DEARNESS ALLOWANCE- RECONER</t>
  </si>
  <si>
    <t>Select New DA</t>
  </si>
  <si>
    <r>
      <t xml:space="preserve">A Place to Learn               </t>
    </r>
    <r>
      <rPr>
        <sz val="20"/>
        <color indexed="8"/>
        <rFont val="Times New Roman"/>
        <family val="1"/>
      </rPr>
      <t>www.apteacher.net</t>
    </r>
  </si>
  <si>
    <t>Diffrence</t>
  </si>
  <si>
    <t>GO</t>
  </si>
  <si>
    <t>Date</t>
  </si>
  <si>
    <t>PF Months</t>
  </si>
  <si>
    <t>cash from</t>
  </si>
  <si>
    <t>January_2011</t>
  </si>
  <si>
    <t>April_2011</t>
  </si>
  <si>
    <t>May_2011</t>
  </si>
  <si>
    <t>July_2010</t>
  </si>
  <si>
    <t>November_2010</t>
  </si>
  <si>
    <t>December_2010</t>
  </si>
  <si>
    <t>February_2010</t>
  </si>
  <si>
    <t>June_2010</t>
  </si>
  <si>
    <t>____</t>
  </si>
  <si>
    <t>__________</t>
  </si>
  <si>
    <t>July_2011</t>
  </si>
  <si>
    <t>November_2011</t>
  </si>
  <si>
    <t>December_2011</t>
  </si>
  <si>
    <t>Master Scale: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</si>
  <si>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Prepared by S.Seshadri SA(MM),Mahadevamangalam, GD Nellore,Chittoor.</t>
  </si>
  <si>
    <t>Visit me at www.apteacher.net for all  Teacher related software</t>
  </si>
  <si>
    <t>APGLI SLABS IN RPS 2010</t>
  </si>
  <si>
    <t>P.TAX Rates</t>
  </si>
  <si>
    <r>
      <rPr>
        <b/>
        <u val="single"/>
        <sz val="15"/>
        <color indexed="12"/>
        <rFont val="Calibri"/>
        <family val="2"/>
      </rPr>
      <t>www.apteacher.net</t>
    </r>
    <r>
      <rPr>
        <u val="single"/>
        <sz val="11"/>
        <color indexed="12"/>
        <rFont val="Calibri"/>
        <family val="2"/>
      </rPr>
      <t xml:space="preserve">
</t>
    </r>
    <r>
      <rPr>
        <sz val="11"/>
        <color indexed="12"/>
        <rFont val="Calibri"/>
        <family val="2"/>
      </rPr>
      <t xml:space="preserve">For all type of Teacher realated softwares,Lesson Plans,Old Question Papers,ZPPF Slips,APGLI Slips, Medical Bill Status, Know ur Salary,Income Tax Software …etc 
</t>
    </r>
  </si>
  <si>
    <t>SINO</t>
  </si>
  <si>
    <t>SLAB</t>
  </si>
  <si>
    <t>6700-8400</t>
  </si>
  <si>
    <t>Upto     5000/-</t>
  </si>
  <si>
    <t>8441-10900</t>
  </si>
  <si>
    <t>5001-6000</t>
  </si>
  <si>
    <t>10901-14860</t>
  </si>
  <si>
    <t>6001-10000</t>
  </si>
  <si>
    <t>14861-18030</t>
  </si>
  <si>
    <t>10001-15000</t>
  </si>
  <si>
    <t>18031-25600</t>
  </si>
  <si>
    <t>15001-20000</t>
  </si>
  <si>
    <t>25601-Above</t>
  </si>
  <si>
    <t>Above-20000</t>
  </si>
  <si>
    <t>USE LEGAL PAPERS TO TAKE PRINTOUTS ……………….. Thank "Q" for using this software</t>
  </si>
  <si>
    <t xml:space="preserve"> AAS Adjust to GPS/CSS/CPS</t>
  </si>
  <si>
    <t xml:space="preserve">RENT RECEIPT </t>
  </si>
  <si>
    <t>Signature of the House Owner</t>
  </si>
  <si>
    <r>
      <t xml:space="preserve">Loss Under House Property           Rs
</t>
    </r>
    <r>
      <rPr>
        <b/>
        <sz val="6"/>
        <color indexed="10"/>
        <rFont val="Bodoni MT Condensed"/>
        <family val="1"/>
      </rPr>
      <t>(Housing lone interest)</t>
    </r>
  </si>
  <si>
    <t>Feb,12</t>
  </si>
  <si>
    <t>Prepared by S.Seshadri,SA(Maths),ZPHSMD Mangalam,GD Nellore</t>
  </si>
  <si>
    <t>Prepared by S.Seshadri S.A(MM),ZPHS-MD Mangalam,GD Nellore,Chittoor</t>
  </si>
  <si>
    <t>Special thanks to</t>
  </si>
  <si>
    <r>
      <rPr>
        <sz val="11"/>
        <color indexed="57"/>
        <rFont val="Calibri"/>
        <family val="2"/>
      </rPr>
      <t>Technical Assistance given by</t>
    </r>
    <r>
      <rPr>
        <sz val="11"/>
        <color theme="1"/>
        <rFont val="Calibri"/>
        <family val="2"/>
      </rPr>
      <t xml:space="preserve">
</t>
    </r>
    <r>
      <rPr>
        <sz val="11"/>
        <color indexed="10"/>
        <rFont val="Calibri"/>
        <family val="2"/>
      </rPr>
      <t>G.Kishore Kumar</t>
    </r>
    <r>
      <rPr>
        <sz val="11"/>
        <color theme="1"/>
        <rFont val="Calibri"/>
        <family val="2"/>
      </rPr>
      <t xml:space="preserve">
SG Teacher
MPPS,Changana Palle
Irala Mandal 
Chittoor Dist</t>
    </r>
  </si>
  <si>
    <t>Best wellwisher :--------
K.SURESH
School Asst(SS)
Sri Kalahasti
Chittoor Dist
Andhrapradesh
kunaatisuresh@yahoo.com
www.sureshsrikalahasti.weebly.com</t>
  </si>
  <si>
    <t xml:space="preserve">                      I  do  hereby  certify  that  the  sum  of  Rupess stated above  deducted   at  source   and  paid  to  the credit  of the central Government.   I  further certify  that  the  Information given above is true and  correct based on the books of account, documents and other available records.</t>
  </si>
  <si>
    <t>MPPS,MD Mangalam</t>
  </si>
  <si>
    <t>M.Venkateswarlu</t>
  </si>
  <si>
    <t>MEO,GD Nellore</t>
  </si>
  <si>
    <t>Mandal Educational Officer</t>
  </si>
  <si>
    <t>S.A(MM)</t>
  </si>
  <si>
    <t>AAS 
PT</t>
  </si>
  <si>
    <t>S.Malathi</t>
  </si>
  <si>
    <t>Dec</t>
  </si>
  <si>
    <t>Jan</t>
  </si>
  <si>
    <t>Nov,Dec,Jan</t>
  </si>
  <si>
    <r>
      <t xml:space="preserve">DA Arrears                                                              </t>
    </r>
    <r>
      <rPr>
        <b/>
        <sz val="8"/>
        <color indexed="8"/>
        <rFont val="Arial Narrow"/>
        <family val="2"/>
      </rPr>
      <t xml:space="preserve"> (</t>
    </r>
    <r>
      <rPr>
        <sz val="8"/>
        <color indexed="8"/>
        <rFont val="Arial Narrow"/>
        <family val="2"/>
      </rPr>
      <t>Jan_12 to Apr_12</t>
    </r>
    <r>
      <rPr>
        <b/>
        <sz val="8"/>
        <color indexed="8"/>
        <rFont val="Arial Narrow"/>
        <family val="2"/>
      </rPr>
      <t>)</t>
    </r>
  </si>
  <si>
    <t>Up to Rs. 2,00,000</t>
  </si>
  <si>
    <t>Rs.2,00,001 To 5,00,000.    (@ 10%)</t>
  </si>
  <si>
    <t>Rs.2,00,001 To 5,00,000. (@ 10%)</t>
  </si>
  <si>
    <t>Rs.5,00,001 To10,00,000.   (@ 20%)</t>
  </si>
  <si>
    <t>above Rs.10,00,001.          (@ 30%)</t>
  </si>
  <si>
    <t>=IF($U$133&gt;500000,30000,IF(AND($U$133&gt;200000,$U$133&lt;=500000),U133-200000,0))</t>
  </si>
  <si>
    <t>Taxable Amt Male</t>
  </si>
  <si>
    <t>Taxable Amt Female</t>
  </si>
  <si>
    <t xml:space="preserve">If Any Arrears </t>
  </si>
  <si>
    <t>Any other Arrears</t>
  </si>
  <si>
    <r>
      <t xml:space="preserve">Valuable suggessions given by </t>
    </r>
    <r>
      <rPr>
        <sz val="11"/>
        <color indexed="10"/>
        <rFont val="Calibri"/>
        <family val="2"/>
      </rPr>
      <t>M.Reddy Rajagopal</t>
    </r>
    <r>
      <rPr>
        <sz val="11"/>
        <color theme="1"/>
        <rFont val="Calibri"/>
        <family val="2"/>
      </rPr>
      <t>, SA(Bio),Gurramkonda,Chittoor (Dist) Ph:9441330805</t>
    </r>
  </si>
  <si>
    <r>
      <rPr>
        <b/>
        <sz val="14"/>
        <color indexed="28"/>
        <rFont val="Calibri"/>
        <family val="2"/>
      </rPr>
      <t>Sri.M.Reddy Rajagopal</t>
    </r>
    <r>
      <rPr>
        <b/>
        <sz val="11"/>
        <color indexed="8"/>
        <rFont val="Calibri"/>
        <family val="2"/>
      </rPr>
      <t xml:space="preserve"> 
School Asst (Bio.Sci)
MPUPS Nadimikandriga
Gurramkonda Mandal
Chittoor District
</t>
    </r>
    <r>
      <rPr>
        <b/>
        <sz val="11"/>
        <color indexed="10"/>
        <rFont val="Calibri"/>
        <family val="2"/>
      </rPr>
      <t>Ph:9441330805
Contact if any issues in I.Tax</t>
    </r>
  </si>
  <si>
    <r>
      <t>Net Taxable Income (11-12)</t>
    </r>
    <r>
      <rPr>
        <b/>
        <sz val="9"/>
        <rFont val="Book Antiqua"/>
        <family val="1"/>
      </rPr>
      <t xml:space="preserve"> </t>
    </r>
    <r>
      <rPr>
        <b/>
        <sz val="9"/>
        <color indexed="23"/>
        <rFont val="Book Antiqua"/>
        <family val="1"/>
      </rPr>
      <t>(Rounded to multiples of  Rs.10/-)</t>
    </r>
  </si>
  <si>
    <t>March,12</t>
  </si>
  <si>
    <t>Feb,13</t>
  </si>
  <si>
    <t>2013-2014</t>
  </si>
  <si>
    <t>Basic Pay on March-2012</t>
  </si>
  <si>
    <t>15 Days - March,12</t>
  </si>
  <si>
    <t>30 Days - March,12</t>
  </si>
  <si>
    <t>15 Days - April,12</t>
  </si>
  <si>
    <t>30 Days - April,12</t>
  </si>
  <si>
    <t>15 Days - May,12</t>
  </si>
  <si>
    <t>30 Days - May,12</t>
  </si>
  <si>
    <t>15 Days - June,12</t>
  </si>
  <si>
    <t>30 Days - June,12</t>
  </si>
  <si>
    <t>15 Days - July,12</t>
  </si>
  <si>
    <t>30 Days - July,12</t>
  </si>
  <si>
    <t>15 Days - Aug,12</t>
  </si>
  <si>
    <t>30 Days - Aug,12</t>
  </si>
  <si>
    <t>15 Days - Sept,12</t>
  </si>
  <si>
    <t>30 Days - Sept,12</t>
  </si>
  <si>
    <t>15 Days - Oct,12</t>
  </si>
  <si>
    <t>30 Days - Oct,12</t>
  </si>
  <si>
    <t>15 Days - Nov,12</t>
  </si>
  <si>
    <t>30 Days - Nov,12</t>
  </si>
  <si>
    <t>15 Days - Dec,12</t>
  </si>
  <si>
    <t>30 Days - Dec,12</t>
  </si>
  <si>
    <t>15 Days - Jan,13</t>
  </si>
  <si>
    <t>30 Days - Jan,13</t>
  </si>
  <si>
    <t>15 Days - Feb,13</t>
  </si>
  <si>
    <t>30 Days - Feb,13</t>
  </si>
  <si>
    <t>July,12</t>
  </si>
  <si>
    <t>Aug,12</t>
  </si>
  <si>
    <t>Sep,12</t>
  </si>
  <si>
    <t>Oct,12</t>
  </si>
  <si>
    <t>Nov,12</t>
  </si>
  <si>
    <t>Dec,13</t>
  </si>
  <si>
    <t>Jan,13</t>
  </si>
  <si>
    <t>INCOME TAX CALCULATION FOR THE YEAR 2012-13</t>
  </si>
  <si>
    <t>DA Arrears to PF July_12 to Oct_12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</si>
</sst>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\-yy"/>
    <numFmt numFmtId="181" formatCode="mmm\-yyyy"/>
    <numFmt numFmtId="182" formatCode="m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09]d\-mmm\-yyyy;@"/>
    <numFmt numFmtId="189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b/>
      <sz val="18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sz val="18"/>
      <name val="Book Antiqua"/>
      <family val="1"/>
    </font>
    <font>
      <b/>
      <sz val="12"/>
      <name val="Browallia New"/>
      <family val="2"/>
    </font>
    <font>
      <u val="single"/>
      <sz val="11"/>
      <color indexed="12"/>
      <name val="Calibri"/>
      <family val="2"/>
    </font>
    <font>
      <sz val="9"/>
      <color indexed="8"/>
      <name val="Book Antiqua"/>
      <family val="1"/>
    </font>
    <font>
      <sz val="9"/>
      <name val="Blackadder ITC"/>
      <family val="5"/>
    </font>
    <font>
      <sz val="20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5"/>
      <color indexed="12"/>
      <name val="Calibri"/>
      <family val="2"/>
    </font>
    <font>
      <sz val="11"/>
      <color indexed="12"/>
      <name val="Calibri"/>
      <family val="2"/>
    </font>
    <font>
      <b/>
      <sz val="6"/>
      <color indexed="10"/>
      <name val="Bodoni MT Condensed"/>
      <family val="1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b/>
      <sz val="14"/>
      <color indexed="2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9"/>
      <color indexed="23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36"/>
      <name val="Calibri"/>
      <family val="2"/>
    </font>
    <font>
      <sz val="8"/>
      <color indexed="8"/>
      <name val="Batang"/>
      <family val="1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b/>
      <sz val="10.5"/>
      <color indexed="8"/>
      <name val="Calibri"/>
      <family val="2"/>
    </font>
    <font>
      <sz val="18"/>
      <color indexed="8"/>
      <name val="Algerian"/>
      <family val="5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63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25"/>
      <color indexed="9"/>
      <name val="Calibri"/>
      <family val="0"/>
    </font>
    <font>
      <b/>
      <sz val="15"/>
      <color indexed="8"/>
      <name val="Calibri"/>
      <family val="0"/>
    </font>
    <font>
      <b/>
      <sz val="15"/>
      <color indexed="16"/>
      <name val="Calibri"/>
      <family val="0"/>
    </font>
    <font>
      <b/>
      <sz val="10"/>
      <color indexed="16"/>
      <name val="Calibri"/>
      <family val="0"/>
    </font>
    <font>
      <b/>
      <sz val="12"/>
      <color indexed="8"/>
      <name val="Calibri"/>
      <family val="0"/>
    </font>
    <font>
      <sz val="18"/>
      <color indexed="17"/>
      <name val="Calibri"/>
      <family val="0"/>
    </font>
    <font>
      <sz val="12"/>
      <color indexed="8"/>
      <name val="Calibri"/>
      <family val="0"/>
    </font>
    <font>
      <sz val="15"/>
      <color indexed="5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Batang"/>
      <family val="1"/>
    </font>
    <font>
      <b/>
      <sz val="9"/>
      <color theme="1"/>
      <name val="Times New Roman"/>
      <family val="1"/>
    </font>
    <font>
      <sz val="18"/>
      <color theme="1"/>
      <name val="Algerian"/>
      <family val="5"/>
    </font>
    <font>
      <b/>
      <sz val="13"/>
      <color theme="1"/>
      <name val="Times New Roman"/>
      <family val="1"/>
    </font>
    <font>
      <b/>
      <sz val="10.5"/>
      <color theme="1"/>
      <name val="Calibri"/>
      <family val="2"/>
    </font>
    <font>
      <sz val="18"/>
      <color theme="1"/>
      <name val="Calibri"/>
      <family val="2"/>
    </font>
    <font>
      <sz val="19"/>
      <color theme="1"/>
      <name val="Calibri"/>
      <family val="2"/>
    </font>
    <font>
      <sz val="11"/>
      <color theme="10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b/>
      <sz val="18"/>
      <color theme="1" tint="0.24998000264167786"/>
      <name val="Times New Roman"/>
      <family val="1"/>
    </font>
    <font>
      <sz val="18"/>
      <color theme="1"/>
      <name val="Times New Roman"/>
      <family val="1"/>
    </font>
    <font>
      <sz val="13"/>
      <color theme="1"/>
      <name val="Calibri"/>
      <family val="2"/>
    </font>
  </fonts>
  <fills count="1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EDBF7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patternFill patternType="solid">
        <fgColor indexed="11"/>
        <bgColor indexed="64"/>
      </patternFill>
    </fill>
    <fill>
      <patternFill patternType="solid">
        <fgColor theme="3" tint="0.5999600291252136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707">
    <xf numFmtId="0" fontId="0" fillId="0" borderId="0" xfId="0" applyFont="1" applyAlignment="1">
      <alignment/>
    </xf>
    <xf numFmtId="0" fontId="17" fillId="0" borderId="1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right"/>
      <protection hidden="1"/>
    </xf>
    <xf numFmtId="41" fontId="5" fillId="0" borderId="13" xfId="0" applyNumberFormat="1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41" fontId="16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8" fillId="0" borderId="16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1" fontId="16" fillId="0" borderId="21" xfId="0" applyNumberFormat="1" applyFont="1" applyBorder="1" applyAlignment="1" applyProtection="1">
      <alignment/>
      <protection hidden="1"/>
    </xf>
    <xf numFmtId="41" fontId="16" fillId="0" borderId="16" xfId="0" applyNumberFormat="1" applyFont="1" applyBorder="1" applyAlignment="1" applyProtection="1">
      <alignment/>
      <protection hidden="1"/>
    </xf>
    <xf numFmtId="3" fontId="16" fillId="0" borderId="22" xfId="0" applyNumberFormat="1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 wrapText="1"/>
      <protection hidden="1" locked="0"/>
    </xf>
    <xf numFmtId="0" fontId="4" fillId="0" borderId="20" xfId="0" applyFont="1" applyBorder="1" applyAlignment="1" applyProtection="1">
      <alignment horizontal="center" vertical="center"/>
      <protection hidden="1" locked="0"/>
    </xf>
    <xf numFmtId="17" fontId="4" fillId="0" borderId="20" xfId="0" applyNumberFormat="1" applyFont="1" applyBorder="1" applyAlignment="1" applyProtection="1">
      <alignment horizontal="center" vertical="center"/>
      <protection hidden="1" locked="0"/>
    </xf>
    <xf numFmtId="1" fontId="5" fillId="0" borderId="20" xfId="0" applyNumberFormat="1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30" fillId="0" borderId="18" xfId="0" applyFont="1" applyBorder="1" applyAlignment="1" applyProtection="1">
      <alignment horizontal="center" vertical="center" wrapText="1"/>
      <protection hidden="1" locked="0"/>
    </xf>
    <xf numFmtId="1" fontId="4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 wrapText="1"/>
      <protection hidden="1" locked="0"/>
    </xf>
    <xf numFmtId="0" fontId="7" fillId="0" borderId="18" xfId="0" applyFont="1" applyBorder="1" applyAlignment="1" applyProtection="1">
      <alignment vertical="center" wrapText="1"/>
      <protection hidden="1" locked="0"/>
    </xf>
    <xf numFmtId="0" fontId="7" fillId="0" borderId="24" xfId="0" applyFont="1" applyBorder="1" applyAlignment="1" applyProtection="1">
      <alignment vertical="center" wrapText="1"/>
      <protection hidden="1" locked="0"/>
    </xf>
    <xf numFmtId="0" fontId="4" fillId="0" borderId="20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6" fillId="0" borderId="25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16" fillId="0" borderId="24" xfId="0" applyFont="1" applyBorder="1" applyAlignment="1" applyProtection="1">
      <alignment vertical="center"/>
      <protection hidden="1" locked="0"/>
    </xf>
    <xf numFmtId="0" fontId="16" fillId="0" borderId="24" xfId="0" applyFont="1" applyBorder="1" applyAlignment="1" applyProtection="1">
      <alignment horizontal="right" vertical="center"/>
      <protection hidden="1" locked="0"/>
    </xf>
    <xf numFmtId="0" fontId="16" fillId="0" borderId="24" xfId="0" applyFont="1" applyBorder="1" applyAlignment="1" applyProtection="1">
      <alignment horizontal="left" vertical="center" wrapText="1"/>
      <protection hidden="1" locked="0"/>
    </xf>
    <xf numFmtId="0" fontId="16" fillId="0" borderId="26" xfId="0" applyFont="1" applyBorder="1" applyAlignment="1" applyProtection="1">
      <alignment vertical="center" shrinkToFit="1"/>
      <protection hidden="1" locked="0"/>
    </xf>
    <xf numFmtId="0" fontId="17" fillId="0" borderId="10" xfId="0" applyFont="1" applyBorder="1" applyAlignment="1" applyProtection="1">
      <alignment horizontal="center"/>
      <protection hidden="1" locked="0"/>
    </xf>
    <xf numFmtId="0" fontId="18" fillId="0" borderId="27" xfId="0" applyFont="1" applyBorder="1" applyAlignment="1" applyProtection="1">
      <alignment/>
      <protection hidden="1" locked="0"/>
    </xf>
    <xf numFmtId="0" fontId="17" fillId="0" borderId="28" xfId="0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 applyProtection="1">
      <alignment horizontal="center"/>
      <protection hidden="1" locked="0"/>
    </xf>
    <xf numFmtId="41" fontId="16" fillId="0" borderId="31" xfId="0" applyNumberFormat="1" applyFont="1" applyBorder="1" applyAlignment="1" applyProtection="1">
      <alignment/>
      <protection hidden="1" locked="0"/>
    </xf>
    <xf numFmtId="0" fontId="16" fillId="0" borderId="11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41" fontId="16" fillId="0" borderId="16" xfId="0" applyNumberFormat="1" applyFont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6" fillId="0" borderId="12" xfId="0" applyFont="1" applyBorder="1" applyAlignment="1" applyProtection="1">
      <alignment horizontal="center"/>
      <protection hidden="1" locked="0"/>
    </xf>
    <xf numFmtId="0" fontId="16" fillId="0" borderId="13" xfId="0" applyFont="1" applyBorder="1" applyAlignment="1" applyProtection="1">
      <alignment horizontal="center"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41" fontId="16" fillId="0" borderId="21" xfId="0" applyNumberFormat="1" applyFont="1" applyBorder="1" applyAlignment="1" applyProtection="1">
      <alignment horizontal="right"/>
      <protection hidden="1" locked="0"/>
    </xf>
    <xf numFmtId="41" fontId="17" fillId="0" borderId="16" xfId="0" applyNumberFormat="1" applyFont="1" applyBorder="1" applyAlignment="1" applyProtection="1">
      <alignment/>
      <protection hidden="1" locked="0"/>
    </xf>
    <xf numFmtId="41" fontId="0" fillId="0" borderId="0" xfId="0" applyNumberFormat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right"/>
      <protection hidden="1" locked="0"/>
    </xf>
    <xf numFmtId="41" fontId="23" fillId="0" borderId="16" xfId="0" applyNumberFormat="1" applyFont="1" applyBorder="1" applyAlignment="1" applyProtection="1">
      <alignment/>
      <protection hidden="1" locked="0"/>
    </xf>
    <xf numFmtId="0" fontId="107" fillId="0" borderId="0" xfId="0" applyFont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/>
      <protection hidden="1" locked="0"/>
    </xf>
    <xf numFmtId="41" fontId="16" fillId="0" borderId="16" xfId="0" applyNumberFormat="1" applyFont="1" applyBorder="1" applyAlignment="1" applyProtection="1">
      <alignment horizontal="right"/>
      <protection hidden="1" locked="0"/>
    </xf>
    <xf numFmtId="0" fontId="19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horizontal="right"/>
      <protection hidden="1" locked="0"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 applyProtection="1">
      <alignment horizontal="center"/>
      <protection hidden="1" locked="0"/>
    </xf>
    <xf numFmtId="0" fontId="16" fillId="0" borderId="34" xfId="0" applyFont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6" fillId="0" borderId="18" xfId="0" applyFont="1" applyBorder="1" applyAlignment="1" applyProtection="1">
      <alignment horizontal="center"/>
      <protection hidden="1" locked="0"/>
    </xf>
    <xf numFmtId="0" fontId="16" fillId="0" borderId="24" xfId="0" applyFont="1" applyBorder="1" applyAlignment="1" applyProtection="1">
      <alignment horizontal="center"/>
      <protection hidden="1" locked="0"/>
    </xf>
    <xf numFmtId="41" fontId="16" fillId="0" borderId="26" xfId="0" applyNumberFormat="1" applyFont="1" applyBorder="1" applyAlignment="1" applyProtection="1">
      <alignment/>
      <protection hidden="1" locked="0"/>
    </xf>
    <xf numFmtId="0" fontId="18" fillId="0" borderId="32" xfId="0" applyFont="1" applyBorder="1" applyAlignment="1" applyProtection="1">
      <alignment/>
      <protection hidden="1" locked="0"/>
    </xf>
    <xf numFmtId="0" fontId="16" fillId="0" borderId="12" xfId="0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 horizontal="center" vertical="center"/>
      <protection hidden="1" locked="0"/>
    </xf>
    <xf numFmtId="0" fontId="16" fillId="0" borderId="3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16" fillId="0" borderId="33" xfId="0" applyFont="1" applyBorder="1" applyAlignment="1" applyProtection="1">
      <alignment horizontal="center" vertical="center"/>
      <protection hidden="1" locked="0"/>
    </xf>
    <xf numFmtId="0" fontId="16" fillId="0" borderId="34" xfId="0" applyFont="1" applyBorder="1" applyAlignment="1" applyProtection="1">
      <alignment horizontal="center" vertical="center"/>
      <protection hidden="1" locked="0"/>
    </xf>
    <xf numFmtId="41" fontId="16" fillId="0" borderId="35" xfId="0" applyNumberFormat="1" applyFont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16" fillId="0" borderId="14" xfId="0" applyFont="1" applyBorder="1" applyAlignment="1" applyProtection="1">
      <alignment horizontal="center" vertical="center"/>
      <protection hidden="1" locked="0"/>
    </xf>
    <xf numFmtId="41" fontId="16" fillId="0" borderId="22" xfId="0" applyNumberFormat="1" applyFont="1" applyBorder="1" applyAlignment="1" applyProtection="1">
      <alignment vertical="center"/>
      <protection hidden="1" locked="0"/>
    </xf>
    <xf numFmtId="0" fontId="16" fillId="0" borderId="36" xfId="0" applyFont="1" applyBorder="1" applyAlignment="1" applyProtection="1">
      <alignment horizontal="center"/>
      <protection hidden="1" locked="0"/>
    </xf>
    <xf numFmtId="0" fontId="16" fillId="0" borderId="37" xfId="0" applyFont="1" applyBorder="1" applyAlignment="1" applyProtection="1">
      <alignment horizontal="center"/>
      <protection hidden="1" locked="0"/>
    </xf>
    <xf numFmtId="41" fontId="16" fillId="0" borderId="38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/>
      <protection hidden="1" locked="0"/>
    </xf>
    <xf numFmtId="0" fontId="18" fillId="0" borderId="10" xfId="0" applyFont="1" applyBorder="1" applyAlignment="1" applyProtection="1">
      <alignment horizontal="center"/>
      <protection hidden="1"/>
    </xf>
    <xf numFmtId="3" fontId="16" fillId="0" borderId="16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3" fontId="16" fillId="0" borderId="0" xfId="0" applyNumberFormat="1" applyFont="1" applyBorder="1" applyAlignment="1" applyProtection="1">
      <alignment/>
      <protection hidden="1"/>
    </xf>
    <xf numFmtId="0" fontId="19" fillId="0" borderId="39" xfId="0" applyFont="1" applyFill="1" applyBorder="1" applyAlignment="1" applyProtection="1">
      <alignment/>
      <protection hidden="1"/>
    </xf>
    <xf numFmtId="0" fontId="31" fillId="0" borderId="40" xfId="0" applyFont="1" applyFill="1" applyBorder="1" applyAlignment="1" applyProtection="1">
      <alignment/>
      <protection hidden="1"/>
    </xf>
    <xf numFmtId="0" fontId="18" fillId="0" borderId="40" xfId="0" applyFont="1" applyFill="1" applyBorder="1" applyAlignment="1" applyProtection="1">
      <alignment/>
      <protection hidden="1"/>
    </xf>
    <xf numFmtId="0" fontId="18" fillId="0" borderId="41" xfId="0" applyFont="1" applyFill="1" applyBorder="1" applyAlignment="1" applyProtection="1">
      <alignment/>
      <protection hidden="1"/>
    </xf>
    <xf numFmtId="0" fontId="17" fillId="0" borderId="42" xfId="0" applyFont="1" applyFill="1" applyBorder="1" applyAlignment="1" applyProtection="1">
      <alignment horizontal="right"/>
      <protection hidden="1" locked="0"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8" fillId="0" borderId="44" xfId="0" applyFont="1" applyFill="1" applyBorder="1" applyAlignment="1" applyProtection="1">
      <alignment/>
      <protection hidden="1" locked="0"/>
    </xf>
    <xf numFmtId="41" fontId="18" fillId="0" borderId="45" xfId="0" applyNumberFormat="1" applyFont="1" applyFill="1" applyBorder="1" applyAlignment="1" applyProtection="1">
      <alignment/>
      <protection hidden="1" locked="0"/>
    </xf>
    <xf numFmtId="0" fontId="17" fillId="0" borderId="46" xfId="0" applyFont="1" applyFill="1" applyBorder="1" applyAlignment="1" applyProtection="1">
      <alignment horizontal="center"/>
      <protection hidden="1" locked="0"/>
    </xf>
    <xf numFmtId="0" fontId="5" fillId="0" borderId="47" xfId="0" applyFont="1" applyFill="1" applyBorder="1" applyAlignment="1" applyProtection="1">
      <alignment horizontal="center" vertical="top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41" fontId="18" fillId="0" borderId="16" xfId="0" applyNumberFormat="1" applyFont="1" applyFill="1" applyBorder="1" applyAlignment="1" applyProtection="1">
      <alignment/>
      <protection hidden="1" locked="0"/>
    </xf>
    <xf numFmtId="0" fontId="15" fillId="0" borderId="46" xfId="0" applyFont="1" applyFill="1" applyBorder="1" applyAlignment="1" applyProtection="1">
      <alignment/>
      <protection hidden="1" locked="0"/>
    </xf>
    <xf numFmtId="0" fontId="5" fillId="0" borderId="13" xfId="0" applyFont="1" applyFill="1" applyBorder="1" applyAlignment="1" applyProtection="1">
      <alignment/>
      <protection hidden="1" locked="0"/>
    </xf>
    <xf numFmtId="41" fontId="5" fillId="0" borderId="13" xfId="0" applyNumberFormat="1" applyFont="1" applyFill="1" applyBorder="1" applyAlignment="1" applyProtection="1">
      <alignment/>
      <protection hidden="1" locked="0"/>
    </xf>
    <xf numFmtId="41" fontId="5" fillId="0" borderId="48" xfId="0" applyNumberFormat="1" applyFont="1" applyFill="1" applyBorder="1" applyAlignment="1" applyProtection="1">
      <alignment/>
      <protection hidden="1" locked="0"/>
    </xf>
    <xf numFmtId="41" fontId="5" fillId="0" borderId="49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17" fillId="0" borderId="50" xfId="0" applyFont="1" applyFill="1" applyBorder="1" applyAlignment="1" applyProtection="1">
      <alignment vertical="center"/>
      <protection hidden="1" locked="0"/>
    </xf>
    <xf numFmtId="0" fontId="17" fillId="0" borderId="51" xfId="0" applyFont="1" applyFill="1" applyBorder="1" applyAlignment="1" applyProtection="1">
      <alignment vertical="center"/>
      <protection hidden="1" locked="0"/>
    </xf>
    <xf numFmtId="0" fontId="5" fillId="0" borderId="52" xfId="0" applyFont="1" applyFill="1" applyBorder="1" applyAlignment="1" applyProtection="1">
      <alignment vertical="center"/>
      <protection hidden="1" locked="0"/>
    </xf>
    <xf numFmtId="41" fontId="16" fillId="0" borderId="26" xfId="0" applyNumberFormat="1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/>
      <protection hidden="1" locked="0"/>
    </xf>
    <xf numFmtId="0" fontId="18" fillId="0" borderId="51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/>
      <protection hidden="1" locked="0"/>
    </xf>
    <xf numFmtId="41" fontId="16" fillId="0" borderId="26" xfId="0" applyNumberFormat="1" applyFont="1" applyFill="1" applyBorder="1" applyAlignment="1" applyProtection="1">
      <alignment/>
      <protection hidden="1" locked="0"/>
    </xf>
    <xf numFmtId="41" fontId="5" fillId="0" borderId="16" xfId="0" applyNumberFormat="1" applyFont="1" applyFill="1" applyBorder="1" applyAlignment="1" applyProtection="1">
      <alignment/>
      <protection hidden="1" locked="0"/>
    </xf>
    <xf numFmtId="41" fontId="16" fillId="0" borderId="16" xfId="0" applyNumberFormat="1" applyFont="1" applyFill="1" applyBorder="1" applyAlignment="1" applyProtection="1">
      <alignment horizontal="right"/>
      <protection hidden="1" locked="0"/>
    </xf>
    <xf numFmtId="0" fontId="5" fillId="0" borderId="53" xfId="0" applyFont="1" applyFill="1" applyBorder="1" applyAlignment="1" applyProtection="1">
      <alignment/>
      <protection hidden="1" locked="0"/>
    </xf>
    <xf numFmtId="41" fontId="16" fillId="0" borderId="21" xfId="0" applyNumberFormat="1" applyFont="1" applyFill="1" applyBorder="1" applyAlignment="1" applyProtection="1">
      <alignment/>
      <protection hidden="1" locked="0"/>
    </xf>
    <xf numFmtId="41" fontId="5" fillId="0" borderId="21" xfId="0" applyNumberFormat="1" applyFont="1" applyFill="1" applyBorder="1" applyAlignment="1" applyProtection="1">
      <alignment/>
      <protection hidden="1" locked="0"/>
    </xf>
    <xf numFmtId="0" fontId="17" fillId="0" borderId="17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 vertical="center"/>
      <protection hidden="1" locked="0"/>
    </xf>
    <xf numFmtId="0" fontId="18" fillId="0" borderId="51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41" fontId="16" fillId="0" borderId="16" xfId="0" applyNumberFormat="1" applyFont="1" applyFill="1" applyBorder="1" applyAlignment="1" applyProtection="1">
      <alignment vertical="center"/>
      <protection hidden="1" locked="0"/>
    </xf>
    <xf numFmtId="0" fontId="18" fillId="0" borderId="25" xfId="0" applyFont="1" applyFill="1" applyBorder="1" applyAlignment="1" applyProtection="1">
      <alignment/>
      <protection hidden="1" locked="0"/>
    </xf>
    <xf numFmtId="0" fontId="18" fillId="0" borderId="24" xfId="0" applyFont="1" applyFill="1" applyBorder="1" applyAlignment="1" applyProtection="1">
      <alignment/>
      <protection hidden="1" locked="0"/>
    </xf>
    <xf numFmtId="0" fontId="18" fillId="0" borderId="54" xfId="0" applyFont="1" applyFill="1" applyBorder="1" applyAlignment="1" applyProtection="1">
      <alignment/>
      <protection hidden="1" locked="0"/>
    </xf>
    <xf numFmtId="0" fontId="18" fillId="0" borderId="55" xfId="0" applyFont="1" applyFill="1" applyBorder="1" applyAlignment="1" applyProtection="1">
      <alignment/>
      <protection hidden="1" locked="0"/>
    </xf>
    <xf numFmtId="0" fontId="18" fillId="0" borderId="26" xfId="0" applyFont="1" applyFill="1" applyBorder="1" applyAlignment="1" applyProtection="1">
      <alignment/>
      <protection hidden="1" locked="0"/>
    </xf>
    <xf numFmtId="0" fontId="18" fillId="0" borderId="10" xfId="0" applyFont="1" applyFill="1" applyBorder="1" applyAlignment="1" applyProtection="1">
      <alignment/>
      <protection hidden="1" locked="0"/>
    </xf>
    <xf numFmtId="0" fontId="18" fillId="0" borderId="16" xfId="0" applyFont="1" applyFill="1" applyBorder="1" applyAlignment="1" applyProtection="1">
      <alignment/>
      <protection hidden="1" locked="0"/>
    </xf>
    <xf numFmtId="0" fontId="18" fillId="0" borderId="5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46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60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20" xfId="0" applyFont="1" applyFill="1" applyBorder="1" applyAlignment="1" applyProtection="1">
      <alignment horizontal="center"/>
      <protection hidden="1" locked="0"/>
    </xf>
    <xf numFmtId="0" fontId="0" fillId="33" borderId="39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hidden="1" locked="0"/>
    </xf>
    <xf numFmtId="0" fontId="99" fillId="39" borderId="0" xfId="53" applyFill="1" applyAlignment="1" applyProtection="1">
      <alignment vertical="top" textRotation="90"/>
      <protection hidden="1" locked="0"/>
    </xf>
    <xf numFmtId="0" fontId="0" fillId="39" borderId="0" xfId="0" applyFill="1" applyAlignment="1" applyProtection="1">
      <alignment vertical="top"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40" borderId="61" xfId="0" applyFill="1" applyBorder="1" applyAlignment="1" applyProtection="1">
      <alignment/>
      <protection hidden="1" locked="0"/>
    </xf>
    <xf numFmtId="0" fontId="0" fillId="41" borderId="44" xfId="0" applyFill="1" applyBorder="1" applyAlignment="1" applyProtection="1">
      <alignment/>
      <protection hidden="1" locked="0"/>
    </xf>
    <xf numFmtId="0" fontId="0" fillId="42" borderId="45" xfId="0" applyFill="1" applyBorder="1" applyAlignment="1" applyProtection="1">
      <alignment/>
      <protection hidden="1" locked="0"/>
    </xf>
    <xf numFmtId="0" fontId="0" fillId="39" borderId="0" xfId="0" applyFill="1" applyAlignment="1" applyProtection="1">
      <alignment textRotation="90"/>
      <protection hidden="1" locked="0"/>
    </xf>
    <xf numFmtId="0" fontId="0" fillId="43" borderId="10" xfId="0" applyFill="1" applyBorder="1" applyAlignment="1" applyProtection="1">
      <alignment/>
      <protection hidden="1" locked="0"/>
    </xf>
    <xf numFmtId="0" fontId="0" fillId="44" borderId="0" xfId="0" applyFill="1" applyBorder="1" applyAlignment="1" applyProtection="1">
      <alignment/>
      <protection hidden="1" locked="0"/>
    </xf>
    <xf numFmtId="0" fontId="0" fillId="45" borderId="16" xfId="0" applyFill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" fillId="0" borderId="63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108" fillId="0" borderId="0" xfId="0" applyFont="1" applyAlignment="1" applyProtection="1">
      <alignment vertical="center"/>
      <protection hidden="1" locked="0"/>
    </xf>
    <xf numFmtId="0" fontId="9" fillId="37" borderId="63" xfId="0" applyFont="1" applyFill="1" applyBorder="1" applyAlignment="1" applyProtection="1">
      <alignment vertical="center"/>
      <protection hidden="1" locked="0"/>
    </xf>
    <xf numFmtId="0" fontId="9" fillId="37" borderId="0" xfId="0" applyFont="1" applyFill="1" applyBorder="1" applyAlignment="1" applyProtection="1">
      <alignment vertical="center"/>
      <protection hidden="1" locked="0"/>
    </xf>
    <xf numFmtId="0" fontId="108" fillId="0" borderId="64" xfId="0" applyFont="1" applyBorder="1" applyAlignment="1" applyProtection="1">
      <alignment vertical="center"/>
      <protection hidden="1" locked="0"/>
    </xf>
    <xf numFmtId="0" fontId="109" fillId="46" borderId="64" xfId="0" applyFont="1" applyFill="1" applyBorder="1" applyAlignment="1" applyProtection="1">
      <alignment horizontal="center" vertical="center"/>
      <protection hidden="1" locked="0"/>
    </xf>
    <xf numFmtId="0" fontId="108" fillId="47" borderId="10" xfId="0" applyFont="1" applyFill="1" applyBorder="1" applyAlignment="1" applyProtection="1">
      <alignment vertical="center"/>
      <protection hidden="1" locked="0"/>
    </xf>
    <xf numFmtId="0" fontId="108" fillId="48" borderId="0" xfId="0" applyFont="1" applyFill="1" applyBorder="1" applyAlignment="1" applyProtection="1">
      <alignment vertical="center"/>
      <protection hidden="1" locked="0"/>
    </xf>
    <xf numFmtId="0" fontId="108" fillId="49" borderId="16" xfId="0" applyFont="1" applyFill="1" applyBorder="1" applyAlignment="1" applyProtection="1">
      <alignment vertical="center"/>
      <protection hidden="1" locked="0"/>
    </xf>
    <xf numFmtId="0" fontId="108" fillId="7" borderId="0" xfId="0" applyFont="1" applyFill="1" applyAlignment="1" applyProtection="1">
      <alignment vertical="center"/>
      <protection hidden="1" locked="0"/>
    </xf>
    <xf numFmtId="0" fontId="2" fillId="37" borderId="63" xfId="0" applyFont="1" applyFill="1" applyBorder="1" applyAlignment="1" applyProtection="1">
      <alignment vertical="center"/>
      <protection hidden="1" locked="0"/>
    </xf>
    <xf numFmtId="0" fontId="108" fillId="0" borderId="64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09" fillId="0" borderId="64" xfId="0" applyFont="1" applyBorder="1" applyAlignment="1" applyProtection="1">
      <alignment/>
      <protection hidden="1" locked="0"/>
    </xf>
    <xf numFmtId="0" fontId="109" fillId="0" borderId="64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09" fillId="50" borderId="64" xfId="0" applyFont="1" applyFill="1" applyBorder="1" applyAlignment="1" applyProtection="1">
      <alignment vertical="center"/>
      <protection hidden="1" locked="0"/>
    </xf>
    <xf numFmtId="0" fontId="2" fillId="36" borderId="0" xfId="0" applyFont="1" applyFill="1" applyBorder="1" applyAlignment="1" applyProtection="1">
      <alignment vertical="center"/>
      <protection hidden="1" locked="0"/>
    </xf>
    <xf numFmtId="0" fontId="109" fillId="36" borderId="64" xfId="0" applyFont="1" applyFill="1" applyBorder="1" applyAlignment="1" applyProtection="1">
      <alignment horizontal="center" vertical="center"/>
      <protection hidden="1" locked="0"/>
    </xf>
    <xf numFmtId="0" fontId="109" fillId="51" borderId="66" xfId="0" applyFont="1" applyFill="1" applyBorder="1" applyAlignment="1" applyProtection="1">
      <alignment horizontal="center" vertical="center"/>
      <protection hidden="1" locked="0"/>
    </xf>
    <xf numFmtId="0" fontId="0" fillId="0" borderId="67" xfId="0" applyBorder="1" applyAlignment="1" applyProtection="1">
      <alignment/>
      <protection hidden="1" locked="0"/>
    </xf>
    <xf numFmtId="0" fontId="105" fillId="32" borderId="64" xfId="0" applyFont="1" applyFill="1" applyBorder="1" applyAlignment="1" applyProtection="1">
      <alignment/>
      <protection hidden="1" locked="0"/>
    </xf>
    <xf numFmtId="0" fontId="0" fillId="39" borderId="0" xfId="0" applyFill="1" applyBorder="1" applyAlignment="1" applyProtection="1">
      <alignment horizontal="center" textRotation="180"/>
      <protection hidden="1" locked="0"/>
    </xf>
    <xf numFmtId="0" fontId="0" fillId="0" borderId="68" xfId="0" applyBorder="1" applyAlignment="1" applyProtection="1">
      <alignment/>
      <protection hidden="1" locked="0"/>
    </xf>
    <xf numFmtId="0" fontId="105" fillId="52" borderId="66" xfId="0" applyFont="1" applyFill="1" applyBorder="1" applyAlignment="1" applyProtection="1">
      <alignment horizontal="left" vertical="center"/>
      <protection hidden="1" locked="0"/>
    </xf>
    <xf numFmtId="0" fontId="2" fillId="53" borderId="66" xfId="0" applyFont="1" applyFill="1" applyBorder="1" applyAlignment="1" applyProtection="1">
      <alignment horizontal="left" vertical="center"/>
      <protection hidden="1" locked="0"/>
    </xf>
    <xf numFmtId="0" fontId="2" fillId="54" borderId="69" xfId="0" applyFont="1" applyFill="1" applyBorder="1" applyAlignment="1" applyProtection="1">
      <alignment horizontal="right" vertical="center"/>
      <protection hidden="1" locked="0"/>
    </xf>
    <xf numFmtId="0" fontId="105" fillId="32" borderId="67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textRotation="180"/>
      <protection hidden="1" locked="0"/>
    </xf>
    <xf numFmtId="0" fontId="105" fillId="55" borderId="10" xfId="0" applyFont="1" applyFill="1" applyBorder="1" applyAlignment="1" applyProtection="1">
      <alignment/>
      <protection hidden="1" locked="0"/>
    </xf>
    <xf numFmtId="0" fontId="105" fillId="32" borderId="64" xfId="0" applyFont="1" applyFill="1" applyBorder="1" applyAlignment="1" applyProtection="1">
      <alignment horizontal="center" vertical="center"/>
      <protection hidden="1" locked="0"/>
    </xf>
    <xf numFmtId="0" fontId="0" fillId="56" borderId="0" xfId="0" applyFill="1" applyBorder="1" applyAlignment="1" applyProtection="1">
      <alignment/>
      <protection hidden="1" locked="0"/>
    </xf>
    <xf numFmtId="0" fontId="107" fillId="57" borderId="0" xfId="0" applyFont="1" applyFill="1" applyBorder="1" applyAlignment="1" applyProtection="1">
      <alignment/>
      <protection hidden="1" locked="0"/>
    </xf>
    <xf numFmtId="0" fontId="105" fillId="58" borderId="0" xfId="0" applyFont="1" applyFill="1" applyBorder="1" applyAlignment="1" applyProtection="1">
      <alignment/>
      <protection hidden="1" locked="0"/>
    </xf>
    <xf numFmtId="0" fontId="0" fillId="59" borderId="0" xfId="0" applyFill="1" applyAlignment="1" applyProtection="1">
      <alignment/>
      <protection hidden="1" locked="0"/>
    </xf>
    <xf numFmtId="17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60" borderId="0" xfId="0" applyFill="1" applyAlignment="1" applyProtection="1">
      <alignment/>
      <protection hidden="1" locked="0"/>
    </xf>
    <xf numFmtId="0" fontId="0" fillId="61" borderId="0" xfId="0" applyFill="1" applyAlignment="1" applyProtection="1">
      <alignment/>
      <protection hidden="1" locked="0"/>
    </xf>
    <xf numFmtId="0" fontId="0" fillId="62" borderId="0" xfId="0" applyFill="1" applyAlignment="1" applyProtection="1">
      <alignment/>
      <protection hidden="1" locked="0"/>
    </xf>
    <xf numFmtId="0" fontId="0" fillId="63" borderId="0" xfId="0" applyFill="1" applyAlignment="1" applyProtection="1">
      <alignment/>
      <protection hidden="1" locked="0"/>
    </xf>
    <xf numFmtId="0" fontId="0" fillId="8" borderId="0" xfId="0" applyFill="1" applyAlignment="1" applyProtection="1">
      <alignment/>
      <protection hidden="1" locked="0"/>
    </xf>
    <xf numFmtId="0" fontId="105" fillId="0" borderId="0" xfId="0" applyFont="1" applyAlignment="1" applyProtection="1">
      <alignment/>
      <protection hidden="1" locked="0"/>
    </xf>
    <xf numFmtId="182" fontId="110" fillId="0" borderId="0" xfId="0" applyNumberFormat="1" applyFont="1" applyAlignment="1" applyProtection="1">
      <alignment/>
      <protection hidden="1" locked="0"/>
    </xf>
    <xf numFmtId="0" fontId="2" fillId="64" borderId="0" xfId="0" applyFont="1" applyFill="1" applyAlignment="1" applyProtection="1">
      <alignment vertical="center"/>
      <protection hidden="1" locked="0"/>
    </xf>
    <xf numFmtId="0" fontId="8" fillId="64" borderId="0" xfId="0" applyFont="1" applyFill="1" applyAlignment="1" applyProtection="1">
      <alignment horizontal="left" vertical="center"/>
      <protection hidden="1" locked="0"/>
    </xf>
    <xf numFmtId="1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105" fillId="8" borderId="0" xfId="0" applyFont="1" applyFill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105" fillId="0" borderId="0" xfId="0" applyFont="1" applyAlignment="1" applyProtection="1">
      <alignment horizontal="center" vertical="center"/>
      <protection hidden="1" locked="0"/>
    </xf>
    <xf numFmtId="0" fontId="2" fillId="64" borderId="0" xfId="0" applyFont="1" applyFill="1" applyAlignment="1" applyProtection="1">
      <alignment horizontal="left" vertical="center"/>
      <protection hidden="1" locked="0"/>
    </xf>
    <xf numFmtId="0" fontId="11" fillId="64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vertical="top" wrapText="1"/>
    </xf>
    <xf numFmtId="0" fontId="105" fillId="32" borderId="64" xfId="0" applyFont="1" applyFill="1" applyBorder="1" applyAlignment="1" applyProtection="1">
      <alignment horizontal="center" vertical="center"/>
      <protection hidden="1" locked="0"/>
    </xf>
    <xf numFmtId="0" fontId="0" fillId="65" borderId="10" xfId="0" applyFill="1" applyBorder="1" applyAlignment="1" applyProtection="1">
      <alignment/>
      <protection hidden="1" locked="0"/>
    </xf>
    <xf numFmtId="0" fontId="0" fillId="66" borderId="0" xfId="0" applyFill="1" applyBorder="1" applyAlignment="1" applyProtection="1">
      <alignment/>
      <protection hidden="1" locked="0"/>
    </xf>
    <xf numFmtId="0" fontId="0" fillId="67" borderId="16" xfId="0" applyFill="1" applyBorder="1" applyAlignment="1" applyProtection="1">
      <alignment/>
      <protection hidden="1" locked="0"/>
    </xf>
    <xf numFmtId="0" fontId="17" fillId="0" borderId="10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vertical="center"/>
      <protection hidden="1" locked="0"/>
    </xf>
    <xf numFmtId="0" fontId="18" fillId="0" borderId="36" xfId="0" applyFont="1" applyBorder="1" applyAlignment="1" applyProtection="1">
      <alignment vertical="center"/>
      <protection hidden="1" locked="0"/>
    </xf>
    <xf numFmtId="41" fontId="16" fillId="0" borderId="70" xfId="0" applyNumberFormat="1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8" fillId="0" borderId="32" xfId="0" applyNumberFormat="1" applyFont="1" applyBorder="1" applyAlignment="1" applyProtection="1">
      <alignment vertical="center"/>
      <protection hidden="1" locked="0"/>
    </xf>
    <xf numFmtId="41" fontId="5" fillId="0" borderId="16" xfId="0" applyNumberFormat="1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8" fillId="0" borderId="12" xfId="0" applyFont="1" applyBorder="1" applyAlignment="1" applyProtection="1">
      <alignment vertical="center"/>
      <protection hidden="1" locked="0"/>
    </xf>
    <xf numFmtId="41" fontId="5" fillId="0" borderId="71" xfId="0" applyNumberFormat="1" applyFont="1" applyBorder="1" applyAlignment="1" applyProtection="1">
      <alignment vertical="center"/>
      <protection hidden="1" locked="0"/>
    </xf>
    <xf numFmtId="0" fontId="18" fillId="0" borderId="29" xfId="0" applyFont="1" applyBorder="1" applyAlignment="1" applyProtection="1">
      <alignment vertical="center"/>
      <protection hidden="1" locked="0"/>
    </xf>
    <xf numFmtId="41" fontId="5" fillId="0" borderId="72" xfId="0" applyNumberFormat="1" applyFont="1" applyBorder="1" applyAlignment="1" applyProtection="1">
      <alignment vertical="center"/>
      <protection hidden="1" locked="0"/>
    </xf>
    <xf numFmtId="41" fontId="5" fillId="0" borderId="70" xfId="0" applyNumberFormat="1" applyFont="1" applyBorder="1" applyAlignment="1" applyProtection="1">
      <alignment vertical="center"/>
      <protection hidden="1" locked="0"/>
    </xf>
    <xf numFmtId="0" fontId="18" fillId="0" borderId="33" xfId="0" applyFont="1" applyBorder="1" applyAlignment="1" applyProtection="1">
      <alignment vertical="center"/>
      <protection hidden="1" locked="0"/>
    </xf>
    <xf numFmtId="41" fontId="5" fillId="0" borderId="73" xfId="0" applyNumberFormat="1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 locked="0"/>
    </xf>
    <xf numFmtId="0" fontId="18" fillId="0" borderId="11" xfId="0" applyFont="1" applyBorder="1" applyAlignment="1" applyProtection="1">
      <alignment vertical="center"/>
      <protection hidden="1" locked="0"/>
    </xf>
    <xf numFmtId="41" fontId="16" fillId="0" borderId="32" xfId="0" applyNumberFormat="1" applyFont="1" applyBorder="1" applyAlignment="1" applyProtection="1">
      <alignment vertical="center"/>
      <protection hidden="1" locked="0"/>
    </xf>
    <xf numFmtId="41" fontId="16" fillId="0" borderId="16" xfId="0" applyNumberFormat="1" applyFont="1" applyBorder="1" applyAlignment="1" applyProtection="1">
      <alignment vertical="center"/>
      <protection hidden="1" locked="0"/>
    </xf>
    <xf numFmtId="41" fontId="5" fillId="0" borderId="0" xfId="0" applyNumberFormat="1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41" fontId="16" fillId="0" borderId="13" xfId="0" applyNumberFormat="1" applyFont="1" applyBorder="1" applyAlignment="1" applyProtection="1">
      <alignment vertical="center"/>
      <protection hidden="1" locked="0"/>
    </xf>
    <xf numFmtId="41" fontId="5" fillId="0" borderId="13" xfId="0" applyNumberFormat="1" applyFont="1" applyBorder="1" applyAlignment="1" applyProtection="1">
      <alignment vertical="center"/>
      <protection hidden="1" locked="0"/>
    </xf>
    <xf numFmtId="3" fontId="18" fillId="0" borderId="15" xfId="0" applyNumberFormat="1" applyFont="1" applyBorder="1" applyAlignment="1" applyProtection="1">
      <alignment vertical="center"/>
      <protection hidden="1" locked="0"/>
    </xf>
    <xf numFmtId="0" fontId="18" fillId="0" borderId="32" xfId="0" applyFont="1" applyBorder="1" applyAlignment="1" applyProtection="1">
      <alignment vertical="center"/>
      <protection hidden="1" locked="0"/>
    </xf>
    <xf numFmtId="41" fontId="5" fillId="0" borderId="32" xfId="0" applyNumberFormat="1" applyFont="1" applyBorder="1" applyAlignment="1" applyProtection="1">
      <alignment vertical="center"/>
      <protection hidden="1" locked="0"/>
    </xf>
    <xf numFmtId="3" fontId="18" fillId="0" borderId="74" xfId="0" applyNumberFormat="1" applyFont="1" applyBorder="1" applyAlignment="1" applyProtection="1">
      <alignment vertical="center"/>
      <protection hidden="1" locked="0"/>
    </xf>
    <xf numFmtId="41" fontId="16" fillId="0" borderId="28" xfId="0" applyNumberFormat="1" applyFont="1" applyBorder="1" applyAlignment="1" applyProtection="1">
      <alignment vertical="center"/>
      <protection hidden="1" locked="0"/>
    </xf>
    <xf numFmtId="3" fontId="18" fillId="0" borderId="12" xfId="0" applyNumberFormat="1" applyFont="1" applyBorder="1" applyAlignment="1" applyProtection="1">
      <alignment vertical="center"/>
      <protection hidden="1" locked="0"/>
    </xf>
    <xf numFmtId="41" fontId="5" fillId="0" borderId="21" xfId="0" applyNumberFormat="1" applyFont="1" applyBorder="1" applyAlignment="1" applyProtection="1">
      <alignment vertical="center"/>
      <protection hidden="1" locked="0"/>
    </xf>
    <xf numFmtId="3" fontId="18" fillId="0" borderId="33" xfId="0" applyNumberFormat="1" applyFont="1" applyBorder="1" applyAlignment="1" applyProtection="1">
      <alignment vertical="center"/>
      <protection hidden="1" locked="0"/>
    </xf>
    <xf numFmtId="41" fontId="5" fillId="0" borderId="35" xfId="0" applyNumberFormat="1" applyFont="1" applyBorder="1" applyAlignment="1" applyProtection="1">
      <alignment vertical="center"/>
      <protection hidden="1" locked="0"/>
    </xf>
    <xf numFmtId="0" fontId="15" fillId="0" borderId="0" xfId="0" applyFont="1" applyBorder="1" applyAlignment="1" applyProtection="1">
      <alignment vertical="center"/>
      <protection hidden="1" locked="0"/>
    </xf>
    <xf numFmtId="41" fontId="18" fillId="0" borderId="32" xfId="0" applyNumberFormat="1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horizontal="right" vertical="center"/>
      <protection hidden="1" locked="0"/>
    </xf>
    <xf numFmtId="3" fontId="18" fillId="0" borderId="13" xfId="0" applyNumberFormat="1" applyFont="1" applyBorder="1" applyAlignment="1" applyProtection="1">
      <alignment vertical="center"/>
      <protection hidden="1" locked="0"/>
    </xf>
    <xf numFmtId="3" fontId="18" fillId="0" borderId="30" xfId="0" applyNumberFormat="1" applyFont="1" applyBorder="1" applyAlignment="1" applyProtection="1">
      <alignment vertical="center"/>
      <protection hidden="1" locked="0"/>
    </xf>
    <xf numFmtId="3" fontId="18" fillId="0" borderId="14" xfId="0" applyNumberFormat="1" applyFont="1" applyBorder="1" applyAlignment="1" applyProtection="1">
      <alignment vertical="center"/>
      <protection hidden="1" locked="0"/>
    </xf>
    <xf numFmtId="3" fontId="18" fillId="0" borderId="29" xfId="0" applyNumberFormat="1" applyFont="1" applyBorder="1" applyAlignment="1" applyProtection="1">
      <alignment vertical="center"/>
      <protection hidden="1" locked="0"/>
    </xf>
    <xf numFmtId="3" fontId="18" fillId="0" borderId="24" xfId="0" applyNumberFormat="1" applyFont="1" applyBorder="1" applyAlignment="1" applyProtection="1">
      <alignment vertical="center"/>
      <protection hidden="1" locked="0"/>
    </xf>
    <xf numFmtId="3" fontId="13" fillId="0" borderId="0" xfId="0" applyNumberFormat="1" applyFont="1" applyBorder="1" applyAlignment="1" applyProtection="1">
      <alignment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5" fillId="0" borderId="32" xfId="0" applyNumberFormat="1" applyFont="1" applyBorder="1" applyAlignment="1" applyProtection="1">
      <alignment vertical="center"/>
      <protection hidden="1" locked="0"/>
    </xf>
    <xf numFmtId="3" fontId="19" fillId="0" borderId="11" xfId="0" applyNumberFormat="1" applyFont="1" applyBorder="1" applyAlignment="1" applyProtection="1">
      <alignment horizontal="right" vertical="center"/>
      <protection hidden="1" locked="0"/>
    </xf>
    <xf numFmtId="3" fontId="13" fillId="0" borderId="13" xfId="0" applyNumberFormat="1" applyFont="1" applyBorder="1" applyAlignment="1" applyProtection="1">
      <alignment vertical="center"/>
      <protection hidden="1" locked="0"/>
    </xf>
    <xf numFmtId="3" fontId="13" fillId="0" borderId="33" xfId="0" applyNumberFormat="1" applyFont="1" applyBorder="1" applyAlignment="1" applyProtection="1">
      <alignment vertical="center"/>
      <protection hidden="1" locked="0"/>
    </xf>
    <xf numFmtId="3" fontId="13" fillId="0" borderId="57" xfId="0" applyNumberFormat="1" applyFont="1" applyBorder="1" applyAlignment="1" applyProtection="1">
      <alignment vertical="center"/>
      <protection hidden="1" locked="0"/>
    </xf>
    <xf numFmtId="41" fontId="16" fillId="0" borderId="75" xfId="0" applyNumberFormat="1" applyFont="1" applyBorder="1" applyAlignment="1" applyProtection="1">
      <alignment/>
      <protection hidden="1" locked="0"/>
    </xf>
    <xf numFmtId="0" fontId="17" fillId="0" borderId="23" xfId="0" applyFont="1" applyBorder="1" applyAlignment="1" applyProtection="1">
      <alignment vertical="center"/>
      <protection hidden="1" locked="0"/>
    </xf>
    <xf numFmtId="0" fontId="13" fillId="0" borderId="15" xfId="0" applyFont="1" applyBorder="1" applyAlignment="1" applyProtection="1">
      <alignment vertical="center"/>
      <protection hidden="1" locked="0"/>
    </xf>
    <xf numFmtId="0" fontId="13" fillId="0" borderId="14" xfId="0" applyFont="1" applyBorder="1" applyAlignment="1" applyProtection="1">
      <alignment vertical="center"/>
      <protection hidden="1" locked="0"/>
    </xf>
    <xf numFmtId="0" fontId="18" fillId="0" borderId="14" xfId="0" applyFont="1" applyBorder="1" applyAlignment="1" applyProtection="1">
      <alignment vertical="center"/>
      <protection hidden="1" locked="0"/>
    </xf>
    <xf numFmtId="0" fontId="18" fillId="0" borderId="59" xfId="0" applyFont="1" applyBorder="1" applyAlignment="1" applyProtection="1">
      <alignment vertical="center"/>
      <protection hidden="1" locked="0"/>
    </xf>
    <xf numFmtId="0" fontId="18" fillId="0" borderId="15" xfId="0" applyFont="1" applyBorder="1" applyAlignment="1" applyProtection="1">
      <alignment vertical="center"/>
      <protection hidden="1" locked="0"/>
    </xf>
    <xf numFmtId="0" fontId="16" fillId="0" borderId="22" xfId="0" applyFont="1" applyBorder="1" applyAlignment="1" applyProtection="1">
      <alignment vertical="center"/>
      <protection hidden="1" locked="0"/>
    </xf>
    <xf numFmtId="0" fontId="0" fillId="68" borderId="0" xfId="0" applyFill="1" applyBorder="1" applyAlignment="1" applyProtection="1">
      <alignment/>
      <protection hidden="1"/>
    </xf>
    <xf numFmtId="0" fontId="107" fillId="0" borderId="0" xfId="0" applyFont="1" applyAlignment="1" applyProtection="1">
      <alignment/>
      <protection hidden="1"/>
    </xf>
    <xf numFmtId="0" fontId="107" fillId="62" borderId="76" xfId="0" applyFont="1" applyFill="1" applyBorder="1" applyAlignment="1" applyProtection="1">
      <alignment horizontal="center" vertical="center" wrapText="1"/>
      <protection hidden="1" locked="0"/>
    </xf>
    <xf numFmtId="0" fontId="111" fillId="62" borderId="20" xfId="0" applyFont="1" applyFill="1" applyBorder="1" applyAlignment="1" applyProtection="1">
      <alignment horizontal="center" vertical="center" wrapText="1"/>
      <protection hidden="1" locked="0"/>
    </xf>
    <xf numFmtId="0" fontId="107" fillId="62" borderId="20" xfId="0" applyFont="1" applyFill="1" applyBorder="1" applyAlignment="1" applyProtection="1">
      <alignment horizontal="center" vertical="center" wrapText="1"/>
      <protection hidden="1" locked="0"/>
    </xf>
    <xf numFmtId="0" fontId="107" fillId="62" borderId="77" xfId="0" applyFont="1" applyFill="1" applyBorder="1" applyAlignment="1" applyProtection="1">
      <alignment horizontal="center" vertical="center" wrapText="1"/>
      <protection hidden="1" locked="0"/>
    </xf>
    <xf numFmtId="0" fontId="64" fillId="0" borderId="76" xfId="0" applyFont="1" applyBorder="1" applyAlignment="1" applyProtection="1">
      <alignment horizontal="center" vertical="center" wrapText="1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33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77" xfId="0" applyBorder="1" applyAlignment="1" applyProtection="1">
      <alignment/>
      <protection hidden="1" locked="0"/>
    </xf>
    <xf numFmtId="14" fontId="0" fillId="38" borderId="0" xfId="0" applyNumberForma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33" fillId="0" borderId="76" xfId="0" applyFont="1" applyBorder="1" applyAlignment="1" applyProtection="1">
      <alignment horizontal="center" vertical="center" wrapText="1"/>
      <protection hidden="1" locked="0"/>
    </xf>
    <xf numFmtId="189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69" borderId="76" xfId="0" applyFill="1" applyBorder="1" applyAlignment="1" applyProtection="1">
      <alignment/>
      <protection hidden="1" locked="0"/>
    </xf>
    <xf numFmtId="0" fontId="0" fillId="70" borderId="20" xfId="0" applyFill="1" applyBorder="1" applyAlignment="1" applyProtection="1">
      <alignment/>
      <protection hidden="1" locked="0"/>
    </xf>
    <xf numFmtId="0" fontId="112" fillId="71" borderId="20" xfId="0" applyFont="1" applyFill="1" applyBorder="1" applyAlignment="1" applyProtection="1">
      <alignment/>
      <protection hidden="1" locked="0"/>
    </xf>
    <xf numFmtId="0" fontId="0" fillId="72" borderId="76" xfId="0" applyFill="1" applyBorder="1" applyAlignment="1" applyProtection="1">
      <alignment horizontal="center"/>
      <protection hidden="1" locked="0"/>
    </xf>
    <xf numFmtId="0" fontId="0" fillId="73" borderId="20" xfId="0" applyFill="1" applyBorder="1" applyAlignment="1" applyProtection="1">
      <alignment horizontal="center"/>
      <protection hidden="1" locked="0"/>
    </xf>
    <xf numFmtId="0" fontId="0" fillId="74" borderId="20" xfId="0" applyFill="1" applyBorder="1" applyAlignment="1" applyProtection="1">
      <alignment horizontal="left"/>
      <protection hidden="1" locked="0"/>
    </xf>
    <xf numFmtId="0" fontId="0" fillId="75" borderId="78" xfId="0" applyFill="1" applyBorder="1" applyAlignment="1" applyProtection="1">
      <alignment horizontal="center"/>
      <protection hidden="1" locked="0"/>
    </xf>
    <xf numFmtId="0" fontId="0" fillId="76" borderId="79" xfId="0" applyFill="1" applyBorder="1" applyAlignment="1" applyProtection="1">
      <alignment horizontal="left"/>
      <protection hidden="1" locked="0"/>
    </xf>
    <xf numFmtId="0" fontId="0" fillId="77" borderId="79" xfId="0" applyFill="1" applyBorder="1" applyAlignment="1" applyProtection="1">
      <alignment horizontal="center"/>
      <protection hidden="1" locked="0"/>
    </xf>
    <xf numFmtId="0" fontId="0" fillId="78" borderId="79" xfId="0" applyFill="1" applyBorder="1" applyAlignment="1" applyProtection="1">
      <alignment/>
      <protection hidden="1" locked="0"/>
    </xf>
    <xf numFmtId="0" fontId="64" fillId="0" borderId="76" xfId="0" applyFont="1" applyBorder="1" applyAlignment="1" applyProtection="1">
      <alignment horizontal="center" vertical="center" wrapText="1"/>
      <protection hidden="1"/>
    </xf>
    <xf numFmtId="0" fontId="33" fillId="0" borderId="76" xfId="0" applyFont="1" applyBorder="1" applyAlignment="1" applyProtection="1">
      <alignment horizontal="center" vertical="center" wrapText="1"/>
      <protection hidden="1"/>
    </xf>
    <xf numFmtId="0" fontId="33" fillId="0" borderId="78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79" xfId="0" applyFont="1" applyBorder="1" applyAlignment="1" applyProtection="1">
      <alignment horizontal="center" vertical="center" wrapText="1"/>
      <protection hidden="1"/>
    </xf>
    <xf numFmtId="0" fontId="109" fillId="79" borderId="64" xfId="0" applyFont="1" applyFill="1" applyBorder="1" applyAlignment="1" applyProtection="1">
      <alignment vertical="center" wrapText="1"/>
      <protection hidden="1"/>
    </xf>
    <xf numFmtId="0" fontId="113" fillId="80" borderId="64" xfId="0" applyFont="1" applyFill="1" applyBorder="1" applyAlignment="1" applyProtection="1">
      <alignment vertical="center" wrapText="1"/>
      <protection hidden="1"/>
    </xf>
    <xf numFmtId="0" fontId="113" fillId="81" borderId="64" xfId="0" applyFont="1" applyFill="1" applyBorder="1" applyAlignment="1" applyProtection="1">
      <alignment horizontal="right" vertical="center" wrapText="1"/>
      <protection hidden="1"/>
    </xf>
    <xf numFmtId="0" fontId="113" fillId="82" borderId="69" xfId="0" applyFont="1" applyFill="1" applyBorder="1" applyAlignment="1" applyProtection="1">
      <alignment vertical="center" wrapText="1"/>
      <protection hidden="1"/>
    </xf>
    <xf numFmtId="0" fontId="105" fillId="83" borderId="66" xfId="0" applyFont="1" applyFill="1" applyBorder="1" applyAlignment="1" applyProtection="1">
      <alignment horizontal="left" vertical="center"/>
      <protection hidden="1"/>
    </xf>
    <xf numFmtId="0" fontId="105" fillId="84" borderId="80" xfId="0" applyFont="1" applyFill="1" applyBorder="1" applyAlignment="1" applyProtection="1">
      <alignment horizontal="left" vertical="center"/>
      <protection hidden="1"/>
    </xf>
    <xf numFmtId="0" fontId="114" fillId="85" borderId="80" xfId="0" applyFont="1" applyFill="1" applyBorder="1" applyAlignment="1" applyProtection="1">
      <alignment horizontal="left" vertical="center"/>
      <protection hidden="1"/>
    </xf>
    <xf numFmtId="0" fontId="115" fillId="7" borderId="0" xfId="0" applyFont="1" applyFill="1" applyAlignment="1" applyProtection="1">
      <alignment/>
      <protection hidden="1"/>
    </xf>
    <xf numFmtId="0" fontId="105" fillId="32" borderId="64" xfId="0" applyFont="1" applyFill="1" applyBorder="1" applyAlignment="1" applyProtection="1">
      <alignment horizontal="center" vertical="center"/>
      <protection hidden="1" locked="0"/>
    </xf>
    <xf numFmtId="0" fontId="114" fillId="86" borderId="80" xfId="0" applyFont="1" applyFill="1" applyBorder="1" applyAlignment="1" applyProtection="1">
      <alignment horizontal="center" vertical="center" wrapText="1"/>
      <protection hidden="1" locked="0"/>
    </xf>
    <xf numFmtId="0" fontId="0" fillId="7" borderId="0" xfId="0" applyFill="1" applyAlignment="1" applyProtection="1">
      <alignment horizontal="left"/>
      <protection hidden="1"/>
    </xf>
    <xf numFmtId="0" fontId="116" fillId="0" borderId="0" xfId="0" applyFont="1" applyAlignment="1" applyProtection="1">
      <alignment/>
      <protection hidden="1" locked="0"/>
    </xf>
    <xf numFmtId="0" fontId="106" fillId="0" borderId="0" xfId="0" applyFont="1" applyAlignment="1" applyProtection="1">
      <alignment/>
      <protection hidden="1" locked="0"/>
    </xf>
    <xf numFmtId="0" fontId="40" fillId="0" borderId="18" xfId="0" applyFont="1" applyBorder="1" applyAlignment="1" applyProtection="1">
      <alignment vertical="center" wrapText="1"/>
      <protection hidden="1" locked="0"/>
    </xf>
    <xf numFmtId="0" fontId="117" fillId="0" borderId="0" xfId="0" applyFont="1" applyAlignment="1" applyProtection="1">
      <alignment/>
      <protection hidden="1" locked="0"/>
    </xf>
    <xf numFmtId="0" fontId="118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 locked="0"/>
    </xf>
    <xf numFmtId="0" fontId="4" fillId="62" borderId="20" xfId="0" applyFont="1" applyFill="1" applyBorder="1" applyAlignment="1" applyProtection="1">
      <alignment horizontal="center" vertical="center" wrapText="1"/>
      <protection hidden="1" locked="0"/>
    </xf>
    <xf numFmtId="0" fontId="4" fillId="62" borderId="20" xfId="0" applyFont="1" applyFill="1" applyBorder="1" applyAlignment="1" applyProtection="1">
      <alignment horizontal="center" vertical="center"/>
      <protection hidden="1"/>
    </xf>
    <xf numFmtId="1" fontId="4" fillId="62" borderId="20" xfId="0" applyNumberFormat="1" applyFont="1" applyFill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center" vertical="center" wrapText="1"/>
      <protection hidden="1" locked="0"/>
    </xf>
    <xf numFmtId="0" fontId="113" fillId="87" borderId="68" xfId="0" applyFont="1" applyFill="1" applyBorder="1" applyAlignment="1" applyProtection="1">
      <alignment horizontal="left" vertical="center" wrapText="1"/>
      <protection hidden="1"/>
    </xf>
    <xf numFmtId="0" fontId="113" fillId="88" borderId="64" xfId="0" applyFont="1" applyFill="1" applyBorder="1" applyAlignment="1" applyProtection="1">
      <alignment horizontal="left" vertical="center" wrapText="1"/>
      <protection hidden="1"/>
    </xf>
    <xf numFmtId="0" fontId="105" fillId="89" borderId="80" xfId="0" applyFont="1" applyFill="1" applyBorder="1" applyAlignment="1" applyProtection="1">
      <alignment horizontal="center" vertical="center"/>
      <protection hidden="1" locked="0"/>
    </xf>
    <xf numFmtId="0" fontId="105" fillId="90" borderId="69" xfId="0" applyFont="1" applyFill="1" applyBorder="1" applyAlignment="1" applyProtection="1">
      <alignment horizontal="center" vertical="center"/>
      <protection hidden="1" locked="0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7" borderId="0" xfId="0" applyFill="1" applyAlignment="1" applyProtection="1">
      <alignment horizontal="center" vertical="top" wrapText="1"/>
      <protection hidden="1"/>
    </xf>
    <xf numFmtId="0" fontId="105" fillId="91" borderId="10" xfId="0" applyFont="1" applyFill="1" applyBorder="1" applyAlignment="1" applyProtection="1">
      <alignment horizontal="center" vertical="center" wrapText="1"/>
      <protection hidden="1"/>
    </xf>
    <xf numFmtId="0" fontId="105" fillId="92" borderId="0" xfId="0" applyFont="1" applyFill="1" applyAlignment="1" applyProtection="1">
      <alignment horizontal="center" vertical="center" wrapText="1"/>
      <protection hidden="1"/>
    </xf>
    <xf numFmtId="0" fontId="105" fillId="93" borderId="10" xfId="0" applyFont="1" applyFill="1" applyBorder="1" applyAlignment="1" applyProtection="1">
      <alignment horizontal="center" vertical="center" wrapText="1"/>
      <protection hidden="1"/>
    </xf>
    <xf numFmtId="0" fontId="119" fillId="94" borderId="81" xfId="0" applyFont="1" applyFill="1" applyBorder="1" applyAlignment="1" applyProtection="1">
      <alignment horizontal="left" vertical="center" wrapText="1"/>
      <protection hidden="1"/>
    </xf>
    <xf numFmtId="0" fontId="119" fillId="95" borderId="66" xfId="0" applyFont="1" applyFill="1" applyBorder="1" applyAlignment="1" applyProtection="1">
      <alignment horizontal="left" vertical="center" wrapText="1"/>
      <protection hidden="1"/>
    </xf>
    <xf numFmtId="0" fontId="119" fillId="96" borderId="69" xfId="0" applyFont="1" applyFill="1" applyBorder="1" applyAlignment="1" applyProtection="1">
      <alignment horizontal="left" vertical="center" wrapText="1"/>
      <protection hidden="1"/>
    </xf>
    <xf numFmtId="0" fontId="114" fillId="97" borderId="80" xfId="0" applyFont="1" applyFill="1" applyBorder="1" applyAlignment="1" applyProtection="1">
      <alignment horizontal="left" vertical="center" wrapText="1"/>
      <protection hidden="1"/>
    </xf>
    <xf numFmtId="0" fontId="114" fillId="98" borderId="66" xfId="0" applyFont="1" applyFill="1" applyBorder="1" applyAlignment="1" applyProtection="1">
      <alignment horizontal="left" vertical="center" wrapText="1"/>
      <protection hidden="1"/>
    </xf>
    <xf numFmtId="0" fontId="114" fillId="99" borderId="69" xfId="0" applyFont="1" applyFill="1" applyBorder="1" applyAlignment="1" applyProtection="1">
      <alignment horizontal="left" vertical="center" wrapText="1"/>
      <protection hidden="1"/>
    </xf>
    <xf numFmtId="0" fontId="119" fillId="100" borderId="81" xfId="0" applyFont="1" applyFill="1" applyBorder="1" applyAlignment="1" applyProtection="1">
      <alignment horizontal="center" vertical="center" wrapText="1"/>
      <protection hidden="1"/>
    </xf>
    <xf numFmtId="0" fontId="119" fillId="101" borderId="66" xfId="0" applyFont="1" applyFill="1" applyBorder="1" applyAlignment="1" applyProtection="1">
      <alignment horizontal="center" vertical="center" wrapText="1"/>
      <protection hidden="1"/>
    </xf>
    <xf numFmtId="0" fontId="105" fillId="102" borderId="80" xfId="0" applyFont="1" applyFill="1" applyBorder="1" applyAlignment="1" applyProtection="1">
      <alignment horizontal="center" vertical="center"/>
      <protection hidden="1" locked="0"/>
    </xf>
    <xf numFmtId="0" fontId="105" fillId="103" borderId="66" xfId="0" applyFont="1" applyFill="1" applyBorder="1" applyAlignment="1" applyProtection="1">
      <alignment horizontal="center" vertical="center"/>
      <protection hidden="1" locked="0"/>
    </xf>
    <xf numFmtId="0" fontId="109" fillId="104" borderId="80" xfId="0" applyFont="1" applyFill="1" applyBorder="1" applyAlignment="1" applyProtection="1">
      <alignment horizontal="center" vertical="center" wrapText="1"/>
      <protection hidden="1"/>
    </xf>
    <xf numFmtId="0" fontId="109" fillId="105" borderId="69" xfId="0" applyFont="1" applyFill="1" applyBorder="1" applyAlignment="1" applyProtection="1">
      <alignment horizontal="center" vertical="center" wrapText="1"/>
      <protection hidden="1"/>
    </xf>
    <xf numFmtId="0" fontId="105" fillId="106" borderId="67" xfId="0" applyFont="1" applyFill="1" applyBorder="1" applyAlignment="1" applyProtection="1">
      <alignment horizontal="center" vertical="center"/>
      <protection hidden="1" locked="0"/>
    </xf>
    <xf numFmtId="0" fontId="109" fillId="107" borderId="64" xfId="0" applyFont="1" applyFill="1" applyBorder="1" applyAlignment="1" applyProtection="1">
      <alignment horizontal="left" vertical="center" wrapText="1"/>
      <protection hidden="1"/>
    </xf>
    <xf numFmtId="0" fontId="109" fillId="108" borderId="64" xfId="0" applyFont="1" applyFill="1" applyBorder="1" applyAlignment="1" applyProtection="1">
      <alignment horizontal="center" vertical="center" wrapText="1"/>
      <protection hidden="1"/>
    </xf>
    <xf numFmtId="0" fontId="105" fillId="32" borderId="64" xfId="0" applyFont="1" applyFill="1" applyBorder="1" applyAlignment="1" applyProtection="1">
      <alignment horizontal="center" vertical="center"/>
      <protection hidden="1" locked="0"/>
    </xf>
    <xf numFmtId="0" fontId="113" fillId="109" borderId="80" xfId="0" applyFont="1" applyFill="1" applyBorder="1" applyAlignment="1" applyProtection="1">
      <alignment horizontal="center" vertical="center" wrapText="1"/>
      <protection hidden="1"/>
    </xf>
    <xf numFmtId="0" fontId="113" fillId="110" borderId="69" xfId="0" applyFont="1" applyFill="1" applyBorder="1" applyAlignment="1" applyProtection="1">
      <alignment horizontal="center" vertical="center" wrapText="1"/>
      <protection hidden="1"/>
    </xf>
    <xf numFmtId="0" fontId="114" fillId="111" borderId="80" xfId="0" applyFont="1" applyFill="1" applyBorder="1" applyAlignment="1" applyProtection="1">
      <alignment horizontal="center" vertical="center" wrapText="1"/>
      <protection hidden="1" locked="0"/>
    </xf>
    <xf numFmtId="0" fontId="114" fillId="112" borderId="69" xfId="0" applyFont="1" applyFill="1" applyBorder="1" applyAlignment="1" applyProtection="1">
      <alignment horizontal="center" vertical="center" wrapText="1"/>
      <protection hidden="1" locked="0"/>
    </xf>
    <xf numFmtId="0" fontId="109" fillId="113" borderId="80" xfId="0" applyFont="1" applyFill="1" applyBorder="1" applyAlignment="1" applyProtection="1">
      <alignment horizontal="right" vertical="center" wrapText="1"/>
      <protection hidden="1"/>
    </xf>
    <xf numFmtId="0" fontId="109" fillId="114" borderId="69" xfId="0" applyFont="1" applyFill="1" applyBorder="1" applyAlignment="1" applyProtection="1">
      <alignment horizontal="right" vertical="center" wrapText="1"/>
      <protection hidden="1"/>
    </xf>
    <xf numFmtId="0" fontId="105" fillId="32" borderId="80" xfId="0" applyFont="1" applyFill="1" applyBorder="1" applyAlignment="1" applyProtection="1">
      <alignment horizontal="center" vertical="center"/>
      <protection hidden="1" locked="0"/>
    </xf>
    <xf numFmtId="0" fontId="105" fillId="32" borderId="66" xfId="0" applyFont="1" applyFill="1" applyBorder="1" applyAlignment="1" applyProtection="1">
      <alignment horizontal="center" vertical="center"/>
      <protection hidden="1" locked="0"/>
    </xf>
    <xf numFmtId="0" fontId="105" fillId="32" borderId="69" xfId="0" applyFont="1" applyFill="1" applyBorder="1" applyAlignment="1" applyProtection="1">
      <alignment horizontal="center" vertical="center"/>
      <protection hidden="1" locked="0"/>
    </xf>
    <xf numFmtId="0" fontId="105" fillId="115" borderId="80" xfId="0" applyFont="1" applyFill="1" applyBorder="1" applyAlignment="1" applyProtection="1">
      <alignment horizontal="left" vertical="center" wrapText="1"/>
      <protection hidden="1"/>
    </xf>
    <xf numFmtId="0" fontId="105" fillId="116" borderId="66" xfId="0" applyFont="1" applyFill="1" applyBorder="1" applyAlignment="1" applyProtection="1">
      <alignment horizontal="left" vertical="center" wrapText="1"/>
      <protection hidden="1"/>
    </xf>
    <xf numFmtId="0" fontId="105" fillId="117" borderId="69" xfId="0" applyFont="1" applyFill="1" applyBorder="1" applyAlignment="1" applyProtection="1">
      <alignment horizontal="left" vertical="center" wrapText="1"/>
      <protection hidden="1"/>
    </xf>
    <xf numFmtId="0" fontId="105" fillId="118" borderId="80" xfId="0" applyFont="1" applyFill="1" applyBorder="1" applyAlignment="1" applyProtection="1">
      <alignment horizontal="left" vertical="center"/>
      <protection hidden="1"/>
    </xf>
    <xf numFmtId="0" fontId="105" fillId="119" borderId="66" xfId="0" applyFont="1" applyFill="1" applyBorder="1" applyAlignment="1" applyProtection="1">
      <alignment horizontal="left" vertical="center"/>
      <protection hidden="1"/>
    </xf>
    <xf numFmtId="0" fontId="2" fillId="32" borderId="80" xfId="0" applyFont="1" applyFill="1" applyBorder="1" applyAlignment="1" applyProtection="1">
      <alignment horizontal="center" vertical="center"/>
      <protection hidden="1" locked="0"/>
    </xf>
    <xf numFmtId="0" fontId="2" fillId="32" borderId="66" xfId="0" applyFont="1" applyFill="1" applyBorder="1" applyAlignment="1" applyProtection="1">
      <alignment horizontal="center" vertical="center"/>
      <protection hidden="1" locked="0"/>
    </xf>
    <xf numFmtId="0" fontId="2" fillId="32" borderId="69" xfId="0" applyFont="1" applyFill="1" applyBorder="1" applyAlignment="1" applyProtection="1">
      <alignment horizontal="center" vertical="center"/>
      <protection hidden="1" locked="0"/>
    </xf>
    <xf numFmtId="0" fontId="109" fillId="120" borderId="68" xfId="0" applyFont="1" applyFill="1" applyBorder="1" applyAlignment="1" applyProtection="1">
      <alignment horizontal="left" vertical="center" wrapText="1"/>
      <protection hidden="1"/>
    </xf>
    <xf numFmtId="0" fontId="109" fillId="121" borderId="62" xfId="0" applyFont="1" applyFill="1" applyBorder="1" applyAlignment="1" applyProtection="1">
      <alignment horizontal="left" vertical="center" wrapText="1"/>
      <protection hidden="1"/>
    </xf>
    <xf numFmtId="0" fontId="113" fillId="122" borderId="64" xfId="0" applyFont="1" applyFill="1" applyBorder="1" applyAlignment="1" applyProtection="1">
      <alignment horizontal="center" vertical="center"/>
      <protection hidden="1"/>
    </xf>
    <xf numFmtId="0" fontId="109" fillId="123" borderId="8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 locked="0"/>
    </xf>
    <xf numFmtId="0" fontId="120" fillId="0" borderId="40" xfId="0" applyFont="1" applyBorder="1" applyAlignment="1" applyProtection="1">
      <alignment horizontal="center" vertical="center"/>
      <protection hidden="1" locked="0"/>
    </xf>
    <xf numFmtId="0" fontId="114" fillId="124" borderId="80" xfId="0" applyFont="1" applyFill="1" applyBorder="1" applyAlignment="1" applyProtection="1">
      <alignment horizontal="center" vertical="center"/>
      <protection hidden="1"/>
    </xf>
    <xf numFmtId="0" fontId="114" fillId="125" borderId="66" xfId="0" applyFont="1" applyFill="1" applyBorder="1" applyAlignment="1" applyProtection="1">
      <alignment horizontal="center" vertical="center"/>
      <protection hidden="1"/>
    </xf>
    <xf numFmtId="0" fontId="114" fillId="126" borderId="67" xfId="0" applyFont="1" applyFill="1" applyBorder="1" applyAlignment="1" applyProtection="1">
      <alignment horizontal="center" vertical="center"/>
      <protection hidden="1"/>
    </xf>
    <xf numFmtId="0" fontId="121" fillId="127" borderId="83" xfId="0" applyFont="1" applyFill="1" applyBorder="1" applyAlignment="1" applyProtection="1">
      <alignment horizontal="left" vertical="center"/>
      <protection hidden="1" locked="0"/>
    </xf>
    <xf numFmtId="0" fontId="121" fillId="128" borderId="84" xfId="0" applyFont="1" applyFill="1" applyBorder="1" applyAlignment="1" applyProtection="1">
      <alignment horizontal="left" vertical="center"/>
      <protection hidden="1" locked="0"/>
    </xf>
    <xf numFmtId="0" fontId="121" fillId="129" borderId="85" xfId="0" applyFont="1" applyFill="1" applyBorder="1" applyAlignment="1" applyProtection="1">
      <alignment horizontal="left" vertical="center"/>
      <protection hidden="1" locked="0"/>
    </xf>
    <xf numFmtId="0" fontId="109" fillId="130" borderId="64" xfId="0" applyFont="1" applyFill="1" applyBorder="1" applyAlignment="1" applyProtection="1">
      <alignment horizontal="center" vertical="center"/>
      <protection hidden="1" locked="0"/>
    </xf>
    <xf numFmtId="0" fontId="113" fillId="131" borderId="81" xfId="0" applyFont="1" applyFill="1" applyBorder="1" applyAlignment="1" applyProtection="1">
      <alignment horizontal="center" vertical="center" wrapText="1"/>
      <protection hidden="1"/>
    </xf>
    <xf numFmtId="0" fontId="113" fillId="132" borderId="66" xfId="0" applyFont="1" applyFill="1" applyBorder="1" applyAlignment="1" applyProtection="1">
      <alignment horizontal="center" vertical="center" wrapText="1"/>
      <protection hidden="1"/>
    </xf>
    <xf numFmtId="0" fontId="0" fillId="39" borderId="16" xfId="0" applyFill="1" applyBorder="1" applyAlignment="1" applyProtection="1">
      <alignment horizontal="center" textRotation="90"/>
      <protection hidden="1" locked="0"/>
    </xf>
    <xf numFmtId="0" fontId="109" fillId="133" borderId="80" xfId="0" applyFont="1" applyFill="1" applyBorder="1" applyAlignment="1" applyProtection="1">
      <alignment horizontal="left" vertical="center" wrapText="1"/>
      <protection hidden="1"/>
    </xf>
    <xf numFmtId="0" fontId="109" fillId="134" borderId="66" xfId="0" applyFont="1" applyFill="1" applyBorder="1" applyAlignment="1" applyProtection="1">
      <alignment horizontal="left" vertical="center" wrapText="1"/>
      <protection hidden="1"/>
    </xf>
    <xf numFmtId="0" fontId="109" fillId="135" borderId="69" xfId="0" applyFont="1" applyFill="1" applyBorder="1" applyAlignment="1" applyProtection="1">
      <alignment horizontal="left" vertical="center" wrapText="1"/>
      <protection hidden="1"/>
    </xf>
    <xf numFmtId="0" fontId="10" fillId="136" borderId="80" xfId="0" applyFont="1" applyFill="1" applyBorder="1" applyAlignment="1" applyProtection="1">
      <alignment horizontal="left" vertical="center"/>
      <protection hidden="1" locked="0"/>
    </xf>
    <xf numFmtId="0" fontId="10" fillId="136" borderId="66" xfId="0" applyFont="1" applyFill="1" applyBorder="1" applyAlignment="1" applyProtection="1">
      <alignment horizontal="left" vertical="center"/>
      <protection hidden="1" locked="0"/>
    </xf>
    <xf numFmtId="0" fontId="10" fillId="136" borderId="69" xfId="0" applyFont="1" applyFill="1" applyBorder="1" applyAlignment="1" applyProtection="1">
      <alignment horizontal="left" vertical="center"/>
      <protection hidden="1" locked="0"/>
    </xf>
    <xf numFmtId="0" fontId="109" fillId="32" borderId="86" xfId="0" applyFont="1" applyFill="1" applyBorder="1" applyAlignment="1" applyProtection="1">
      <alignment horizontal="left" vertical="center"/>
      <protection hidden="1" locked="0"/>
    </xf>
    <xf numFmtId="0" fontId="109" fillId="32" borderId="86" xfId="0" applyFont="1" applyFill="1" applyBorder="1" applyAlignment="1" applyProtection="1">
      <alignment horizontal="center" vertical="center"/>
      <protection hidden="1" locked="0"/>
    </xf>
    <xf numFmtId="0" fontId="109" fillId="32" borderId="87" xfId="0" applyFont="1" applyFill="1" applyBorder="1" applyAlignment="1" applyProtection="1">
      <alignment horizontal="center" vertical="center"/>
      <protection hidden="1" locked="0"/>
    </xf>
    <xf numFmtId="0" fontId="0" fillId="63" borderId="0" xfId="0" applyFill="1" applyAlignment="1" applyProtection="1">
      <alignment horizontal="center"/>
      <protection hidden="1" locked="0"/>
    </xf>
    <xf numFmtId="0" fontId="105" fillId="32" borderId="86" xfId="0" applyFont="1" applyFill="1" applyBorder="1" applyAlignment="1" applyProtection="1">
      <alignment horizontal="center" vertical="center"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122" fillId="137" borderId="80" xfId="0" applyFont="1" applyFill="1" applyBorder="1" applyAlignment="1" applyProtection="1">
      <alignment horizontal="center" vertical="center" wrapText="1"/>
      <protection hidden="1"/>
    </xf>
    <xf numFmtId="0" fontId="122" fillId="137" borderId="69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/>
      <protection hidden="1" locked="0"/>
    </xf>
    <xf numFmtId="0" fontId="105" fillId="138" borderId="88" xfId="0" applyFont="1" applyFill="1" applyBorder="1" applyAlignment="1" applyProtection="1">
      <alignment horizontal="left" vertical="center"/>
      <protection hidden="1"/>
    </xf>
    <xf numFmtId="0" fontId="105" fillId="139" borderId="89" xfId="0" applyFont="1" applyFill="1" applyBorder="1" applyAlignment="1" applyProtection="1">
      <alignment horizontal="left" vertical="center"/>
      <protection hidden="1"/>
    </xf>
    <xf numFmtId="0" fontId="105" fillId="140" borderId="90" xfId="0" applyFont="1" applyFill="1" applyBorder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top"/>
      <protection hidden="1"/>
    </xf>
    <xf numFmtId="0" fontId="12" fillId="136" borderId="80" xfId="0" applyFont="1" applyFill="1" applyBorder="1" applyAlignment="1" applyProtection="1">
      <alignment horizontal="left" vertical="center" wrapText="1"/>
      <protection hidden="1" locked="0"/>
    </xf>
    <xf numFmtId="0" fontId="12" fillId="136" borderId="66" xfId="0" applyFont="1" applyFill="1" applyBorder="1" applyAlignment="1" applyProtection="1">
      <alignment horizontal="left" vertical="center" wrapText="1"/>
      <protection hidden="1" locked="0"/>
    </xf>
    <xf numFmtId="0" fontId="12" fillId="136" borderId="69" xfId="0" applyFont="1" applyFill="1" applyBorder="1" applyAlignment="1" applyProtection="1">
      <alignment horizontal="left" vertical="center" wrapText="1"/>
      <protection hidden="1" locked="0"/>
    </xf>
    <xf numFmtId="0" fontId="2" fillId="32" borderId="80" xfId="0" applyFont="1" applyFill="1" applyBorder="1" applyAlignment="1" applyProtection="1">
      <alignment horizontal="center" vertical="center" wrapText="1"/>
      <protection hidden="1" locked="0"/>
    </xf>
    <xf numFmtId="0" fontId="2" fillId="32" borderId="66" xfId="0" applyFont="1" applyFill="1" applyBorder="1" applyAlignment="1" applyProtection="1">
      <alignment horizontal="center" vertical="center" wrapText="1"/>
      <protection hidden="1" locked="0"/>
    </xf>
    <xf numFmtId="0" fontId="2" fillId="32" borderId="69" xfId="0" applyFont="1" applyFill="1" applyBorder="1" applyAlignment="1" applyProtection="1">
      <alignment horizontal="center" vertical="center" wrapText="1"/>
      <protection hidden="1" locked="0"/>
    </xf>
    <xf numFmtId="0" fontId="123" fillId="7" borderId="0" xfId="0" applyFont="1" applyFill="1" applyAlignment="1" applyProtection="1">
      <alignment horizontal="center"/>
      <protection hidden="1"/>
    </xf>
    <xf numFmtId="0" fontId="124" fillId="141" borderId="10" xfId="0" applyFont="1" applyFill="1" applyBorder="1" applyAlignment="1" applyProtection="1">
      <alignment horizontal="center"/>
      <protection hidden="1" locked="0"/>
    </xf>
    <xf numFmtId="0" fontId="124" fillId="142" borderId="0" xfId="0" applyFont="1" applyFill="1" applyBorder="1" applyAlignment="1" applyProtection="1">
      <alignment horizontal="center"/>
      <protection hidden="1" locked="0"/>
    </xf>
    <xf numFmtId="0" fontId="124" fillId="143" borderId="16" xfId="0" applyFont="1" applyFill="1" applyBorder="1" applyAlignment="1" applyProtection="1">
      <alignment horizontal="center"/>
      <protection hidden="1" locked="0"/>
    </xf>
    <xf numFmtId="0" fontId="105" fillId="144" borderId="83" xfId="0" applyFont="1" applyFill="1" applyBorder="1" applyAlignment="1" applyProtection="1">
      <alignment horizontal="left" vertical="center"/>
      <protection hidden="1" locked="0"/>
    </xf>
    <xf numFmtId="0" fontId="105" fillId="145" borderId="84" xfId="0" applyFont="1" applyFill="1" applyBorder="1" applyAlignment="1" applyProtection="1">
      <alignment horizontal="left" vertical="center"/>
      <protection hidden="1" locked="0"/>
    </xf>
    <xf numFmtId="0" fontId="105" fillId="146" borderId="91" xfId="0" applyFont="1" applyFill="1" applyBorder="1" applyAlignment="1" applyProtection="1">
      <alignment horizontal="left" vertical="center"/>
      <protection hidden="1" locked="0"/>
    </xf>
    <xf numFmtId="0" fontId="109" fillId="147" borderId="65" xfId="0" applyFont="1" applyFill="1" applyBorder="1" applyAlignment="1" applyProtection="1">
      <alignment horizontal="center" vertical="center"/>
      <protection hidden="1" locked="0"/>
    </xf>
    <xf numFmtId="0" fontId="109" fillId="148" borderId="64" xfId="0" applyFont="1" applyFill="1" applyBorder="1" applyAlignment="1" applyProtection="1">
      <alignment vertical="center" wrapText="1"/>
      <protection hidden="1"/>
    </xf>
    <xf numFmtId="0" fontId="109" fillId="149" borderId="80" xfId="0" applyFont="1" applyFill="1" applyBorder="1" applyAlignment="1" applyProtection="1">
      <alignment horizontal="center" vertical="center" wrapText="1"/>
      <protection hidden="1" locked="0"/>
    </xf>
    <xf numFmtId="0" fontId="109" fillId="150" borderId="66" xfId="0" applyFont="1" applyFill="1" applyBorder="1" applyAlignment="1" applyProtection="1">
      <alignment horizontal="center" vertical="center" wrapText="1"/>
      <protection hidden="1" locked="0"/>
    </xf>
    <xf numFmtId="0" fontId="109" fillId="151" borderId="69" xfId="0" applyFont="1" applyFill="1" applyBorder="1" applyAlignment="1" applyProtection="1">
      <alignment horizontal="center" vertical="center" wrapText="1"/>
      <protection hidden="1" locked="0"/>
    </xf>
    <xf numFmtId="0" fontId="105" fillId="32" borderId="65" xfId="0" applyFont="1" applyFill="1" applyBorder="1" applyAlignment="1" applyProtection="1">
      <alignment horizontal="center" vertical="center"/>
      <protection hidden="1" locked="0"/>
    </xf>
    <xf numFmtId="0" fontId="125" fillId="36" borderId="10" xfId="53" applyFont="1" applyFill="1" applyBorder="1" applyAlignment="1" applyProtection="1">
      <alignment horizontal="center" vertical="top" wrapText="1"/>
      <protection hidden="1" locked="0"/>
    </xf>
    <xf numFmtId="0" fontId="125" fillId="36" borderId="0" xfId="53" applyFont="1" applyFill="1" applyBorder="1" applyAlignment="1" applyProtection="1">
      <alignment horizontal="center" vertical="top" wrapText="1"/>
      <protection hidden="1" locked="0"/>
    </xf>
    <xf numFmtId="0" fontId="0" fillId="39" borderId="0" xfId="0" applyFill="1" applyAlignment="1" applyProtection="1">
      <alignment horizontal="center" textRotation="180"/>
      <protection hidden="1" locked="0"/>
    </xf>
    <xf numFmtId="0" fontId="0" fillId="39" borderId="10" xfId="0" applyFill="1" applyBorder="1" applyAlignment="1" applyProtection="1">
      <alignment horizontal="center" textRotation="180"/>
      <protection hidden="1" locked="0"/>
    </xf>
    <xf numFmtId="0" fontId="0" fillId="36" borderId="0" xfId="0" applyFill="1" applyAlignment="1" applyProtection="1">
      <alignment horizontal="center"/>
      <protection hidden="1"/>
    </xf>
    <xf numFmtId="0" fontId="109" fillId="32" borderId="92" xfId="0" applyFont="1" applyFill="1" applyBorder="1" applyAlignment="1" applyProtection="1">
      <alignment horizontal="center" vertical="center"/>
      <protection hidden="1" locked="0"/>
    </xf>
    <xf numFmtId="0" fontId="109" fillId="32" borderId="40" xfId="0" applyFont="1" applyFill="1" applyBorder="1" applyAlignment="1" applyProtection="1">
      <alignment horizontal="center" vertical="center"/>
      <protection hidden="1" locked="0"/>
    </xf>
    <xf numFmtId="0" fontId="109" fillId="32" borderId="93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Alignment="1" applyProtection="1">
      <alignment horizontal="left"/>
      <protection hidden="1" locked="0"/>
    </xf>
    <xf numFmtId="9" fontId="5" fillId="0" borderId="32" xfId="0" applyNumberFormat="1" applyFont="1" applyBorder="1" applyAlignment="1" applyProtection="1">
      <alignment horizontal="left"/>
      <protection hidden="1" locked="0"/>
    </xf>
    <xf numFmtId="9" fontId="20" fillId="0" borderId="0" xfId="0" applyNumberFormat="1" applyFont="1" applyBorder="1" applyAlignment="1" applyProtection="1">
      <alignment horizontal="left"/>
      <protection hidden="1" locked="0"/>
    </xf>
    <xf numFmtId="9" fontId="20" fillId="0" borderId="32" xfId="0" applyNumberFormat="1" applyFont="1" applyBorder="1" applyAlignment="1" applyProtection="1">
      <alignment horizontal="left"/>
      <protection hidden="1" locked="0"/>
    </xf>
    <xf numFmtId="0" fontId="17" fillId="0" borderId="15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16" fillId="0" borderId="1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17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5" fillId="0" borderId="32" xfId="0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Fill="1" applyBorder="1" applyAlignment="1" applyProtection="1">
      <alignment horizontal="left"/>
      <protection hidden="1" locked="0"/>
    </xf>
    <xf numFmtId="9" fontId="5" fillId="0" borderId="32" xfId="0" applyNumberFormat="1" applyFont="1" applyFill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5" fillId="0" borderId="61" xfId="0" applyFont="1" applyBorder="1" applyAlignment="1" applyProtection="1">
      <alignment horizontal="center" vertical="center"/>
      <protection hidden="1" locked="0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16" fillId="0" borderId="11" xfId="0" applyFont="1" applyFill="1" applyBorder="1" applyAlignment="1" applyProtection="1">
      <alignment horizontal="left"/>
      <protection hidden="1" locked="0"/>
    </xf>
    <xf numFmtId="0" fontId="16" fillId="0" borderId="0" xfId="0" applyFont="1" applyFill="1" applyBorder="1" applyAlignment="1" applyProtection="1">
      <alignment horizontal="left"/>
      <protection hidden="1" locked="0"/>
    </xf>
    <xf numFmtId="0" fontId="17" fillId="0" borderId="32" xfId="0" applyFont="1" applyBorder="1" applyAlignment="1" applyProtection="1">
      <alignment horizontal="left"/>
      <protection hidden="1" locked="0"/>
    </xf>
    <xf numFmtId="0" fontId="17" fillId="0" borderId="11" xfId="0" applyFont="1" applyFill="1" applyBorder="1" applyAlignment="1" applyProtection="1">
      <alignment horizontal="left"/>
      <protection hidden="1" locked="0"/>
    </xf>
    <xf numFmtId="0" fontId="17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 shrinkToFit="1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6" fillId="0" borderId="11" xfId="0" applyFont="1" applyBorder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left"/>
      <protection hidden="1" locked="0"/>
    </xf>
    <xf numFmtId="0" fontId="13" fillId="0" borderId="11" xfId="0" applyFont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28" fillId="0" borderId="39" xfId="0" applyFont="1" applyBorder="1" applyAlignment="1" applyProtection="1">
      <alignment horizontal="left"/>
      <protection hidden="1"/>
    </xf>
    <xf numFmtId="0" fontId="28" fillId="0" borderId="40" xfId="0" applyFont="1" applyBorder="1" applyAlignment="1" applyProtection="1">
      <alignment horizontal="left"/>
      <protection hidden="1"/>
    </xf>
    <xf numFmtId="0" fontId="28" fillId="0" borderId="4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94" xfId="0" applyFont="1" applyBorder="1" applyAlignment="1" applyProtection="1">
      <alignment horizontal="left" vertical="center"/>
      <protection hidden="1" locked="0"/>
    </xf>
    <xf numFmtId="0" fontId="16" fillId="0" borderId="95" xfId="0" applyFont="1" applyBorder="1" applyAlignment="1" applyProtection="1">
      <alignment horizontal="left" vertical="center"/>
      <protection hidden="1" locked="0"/>
    </xf>
    <xf numFmtId="0" fontId="16" fillId="0" borderId="75" xfId="0" applyFont="1" applyBorder="1" applyAlignment="1" applyProtection="1">
      <alignment horizontal="left" vertical="center"/>
      <protection hidden="1" locked="0"/>
    </xf>
    <xf numFmtId="0" fontId="16" fillId="0" borderId="23" xfId="0" applyFont="1" applyBorder="1" applyAlignment="1" applyProtection="1">
      <alignment horizontal="left" vertical="center"/>
      <protection hidden="1" locked="0"/>
    </xf>
    <xf numFmtId="0" fontId="16" fillId="0" borderId="14" xfId="0" applyFont="1" applyBorder="1" applyAlignment="1" applyProtection="1">
      <alignment horizontal="left" vertical="center"/>
      <protection hidden="1" locked="0"/>
    </xf>
    <xf numFmtId="0" fontId="16" fillId="0" borderId="22" xfId="0" applyFont="1" applyBorder="1" applyAlignment="1" applyProtection="1">
      <alignment horizontal="left" vertical="center"/>
      <protection hidden="1" locked="0"/>
    </xf>
    <xf numFmtId="0" fontId="21" fillId="0" borderId="74" xfId="0" applyFont="1" applyBorder="1" applyAlignment="1" applyProtection="1">
      <alignment horizontal="left" vertical="center"/>
      <protection hidden="1" locked="0"/>
    </xf>
    <xf numFmtId="0" fontId="21" fillId="0" borderId="27" xfId="0" applyFont="1" applyBorder="1" applyAlignment="1" applyProtection="1">
      <alignment horizontal="left" vertical="center"/>
      <protection hidden="1" locked="0"/>
    </xf>
    <xf numFmtId="0" fontId="17" fillId="0" borderId="27" xfId="0" applyFont="1" applyBorder="1" applyAlignment="1" applyProtection="1">
      <alignment horizontal="right" vertical="center"/>
      <protection hidden="1" locked="0"/>
    </xf>
    <xf numFmtId="0" fontId="24" fillId="0" borderId="61" xfId="0" applyFont="1" applyBorder="1" applyAlignment="1" applyProtection="1">
      <alignment horizontal="center" vertical="center" wrapText="1"/>
      <protection hidden="1" locked="0"/>
    </xf>
    <xf numFmtId="0" fontId="25" fillId="0" borderId="44" xfId="0" applyFont="1" applyBorder="1" applyAlignment="1" applyProtection="1">
      <alignment horizontal="center" vertical="center" wrapText="1"/>
      <protection hidden="1" locked="0"/>
    </xf>
    <xf numFmtId="0" fontId="25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6" xfId="0" applyFont="1" applyBorder="1" applyAlignment="1" applyProtection="1">
      <alignment horizontal="center" vertical="center" wrapText="1"/>
      <protection hidden="1" locked="0"/>
    </xf>
    <xf numFmtId="0" fontId="18" fillId="0" borderId="9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 locked="0"/>
    </xf>
    <xf numFmtId="0" fontId="18" fillId="0" borderId="74" xfId="0" applyFont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/>
      <protection hidden="1" locked="0"/>
    </xf>
    <xf numFmtId="41" fontId="16" fillId="0" borderId="10" xfId="0" applyNumberFormat="1" applyFont="1" applyBorder="1" applyAlignment="1" applyProtection="1">
      <alignment horizontal="center"/>
      <protection hidden="1" locked="0"/>
    </xf>
    <xf numFmtId="41" fontId="16" fillId="0" borderId="0" xfId="0" applyNumberFormat="1" applyFont="1" applyBorder="1" applyAlignment="1" applyProtection="1">
      <alignment horizontal="center"/>
      <protection hidden="1" locked="0"/>
    </xf>
    <xf numFmtId="0" fontId="16" fillId="0" borderId="16" xfId="0" applyFont="1" applyBorder="1" applyAlignment="1" applyProtection="1">
      <alignment horizontal="left"/>
      <protection hidden="1" locked="0"/>
    </xf>
    <xf numFmtId="41" fontId="5" fillId="0" borderId="10" xfId="0" applyNumberFormat="1" applyFont="1" applyBorder="1" applyAlignment="1" applyProtection="1">
      <alignment horizontal="center"/>
      <protection hidden="1" locked="0"/>
    </xf>
    <xf numFmtId="41" fontId="5" fillId="0" borderId="0" xfId="0" applyNumberFormat="1" applyFont="1" applyBorder="1" applyAlignment="1" applyProtection="1">
      <alignment horizontal="center"/>
      <protection hidden="1" locked="0"/>
    </xf>
    <xf numFmtId="0" fontId="16" fillId="0" borderId="81" xfId="0" applyFont="1" applyBorder="1" applyAlignment="1" applyProtection="1">
      <alignment horizontal="center" vertical="center"/>
      <protection hidden="1" locked="0"/>
    </xf>
    <xf numFmtId="0" fontId="16" fillId="0" borderId="66" xfId="0" applyFont="1" applyBorder="1" applyAlignment="1" applyProtection="1">
      <alignment horizontal="center" vertical="center"/>
      <protection hidden="1" locked="0"/>
    </xf>
    <xf numFmtId="0" fontId="16" fillId="0" borderId="69" xfId="0" applyFont="1" applyBorder="1" applyAlignment="1" applyProtection="1">
      <alignment horizontal="center" vertical="center"/>
      <protection hidden="1" locked="0"/>
    </xf>
    <xf numFmtId="0" fontId="16" fillId="0" borderId="80" xfId="0" applyFont="1" applyBorder="1" applyAlignment="1" applyProtection="1">
      <alignment horizontal="center" vertical="center"/>
      <protection hidden="1" locked="0"/>
    </xf>
    <xf numFmtId="0" fontId="13" fillId="0" borderId="80" xfId="0" applyFont="1" applyBorder="1" applyAlignment="1" applyProtection="1">
      <alignment horizontal="center" vertical="center"/>
      <protection hidden="1" locked="0"/>
    </xf>
    <xf numFmtId="0" fontId="13" fillId="0" borderId="66" xfId="0" applyFont="1" applyBorder="1" applyAlignment="1" applyProtection="1">
      <alignment horizontal="center" vertical="center"/>
      <protection hidden="1" locked="0"/>
    </xf>
    <xf numFmtId="0" fontId="13" fillId="0" borderId="69" xfId="0" applyFont="1" applyBorder="1" applyAlignment="1" applyProtection="1">
      <alignment horizontal="center" vertical="center"/>
      <protection hidden="1" locked="0"/>
    </xf>
    <xf numFmtId="0" fontId="16" fillId="0" borderId="67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57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76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17" fontId="17" fillId="0" borderId="57" xfId="0" applyNumberFormat="1" applyFont="1" applyBorder="1" applyAlignment="1" applyProtection="1">
      <alignment horizontal="center" vertical="center"/>
      <protection hidden="1" locked="0"/>
    </xf>
    <xf numFmtId="0" fontId="17" fillId="0" borderId="95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58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horizontal="center" vertical="center"/>
      <protection hidden="1" locked="0"/>
    </xf>
    <xf numFmtId="0" fontId="17" fillId="0" borderId="59" xfId="0" applyFont="1" applyBorder="1" applyAlignment="1" applyProtection="1">
      <alignment horizontal="center" vertical="center"/>
      <protection hidden="1" locked="0"/>
    </xf>
    <xf numFmtId="0" fontId="17" fillId="0" borderId="16" xfId="0" applyFont="1" applyBorder="1" applyAlignment="1" applyProtection="1">
      <alignment horizontal="center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 hidden="1" locked="0"/>
    </xf>
    <xf numFmtId="0" fontId="23" fillId="0" borderId="10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18" fillId="0" borderId="94" xfId="0" applyFont="1" applyBorder="1" applyAlignment="1" applyProtection="1">
      <alignment horizontal="center"/>
      <protection hidden="1" locked="0"/>
    </xf>
    <xf numFmtId="0" fontId="18" fillId="0" borderId="95" xfId="0" applyFont="1" applyBorder="1" applyAlignment="1" applyProtection="1">
      <alignment horizontal="center"/>
      <protection hidden="1" locked="0"/>
    </xf>
    <xf numFmtId="0" fontId="18" fillId="0" borderId="75" xfId="0" applyFont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17" fillId="0" borderId="32" xfId="0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18" fillId="0" borderId="40" xfId="0" applyFont="1" applyBorder="1" applyAlignment="1" applyProtection="1">
      <alignment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3" fontId="16" fillId="0" borderId="11" xfId="0" applyNumberFormat="1" applyFont="1" applyBorder="1" applyAlignment="1" applyProtection="1">
      <alignment horizontal="left" vertical="center"/>
      <protection hidden="1" locked="0"/>
    </xf>
    <xf numFmtId="3" fontId="16" fillId="0" borderId="0" xfId="0" applyNumberFormat="1" applyFont="1" applyBorder="1" applyAlignment="1" applyProtection="1">
      <alignment horizontal="left" vertical="center"/>
      <protection hidden="1" locked="0"/>
    </xf>
    <xf numFmtId="3" fontId="16" fillId="0" borderId="32" xfId="0" applyNumberFormat="1" applyFont="1" applyBorder="1" applyAlignment="1" applyProtection="1">
      <alignment horizontal="left"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17" fillId="0" borderId="32" xfId="0" applyNumberFormat="1" applyFont="1" applyBorder="1" applyAlignment="1" applyProtection="1">
      <alignment vertical="center"/>
      <protection hidden="1" locked="0"/>
    </xf>
    <xf numFmtId="0" fontId="26" fillId="0" borderId="1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left" indent="2"/>
      <protection hidden="1" locked="0"/>
    </xf>
    <xf numFmtId="0" fontId="18" fillId="0" borderId="0" xfId="0" applyFont="1" applyFill="1" applyBorder="1" applyAlignment="1" applyProtection="1">
      <alignment horizontal="left" indent="2"/>
      <protection hidden="1" locked="0"/>
    </xf>
    <xf numFmtId="0" fontId="17" fillId="0" borderId="44" xfId="0" applyFont="1" applyFill="1" applyBorder="1" applyAlignment="1" applyProtection="1">
      <alignment horizontal="left"/>
      <protection hidden="1" locked="0"/>
    </xf>
    <xf numFmtId="0" fontId="5" fillId="0" borderId="44" xfId="0" applyFont="1" applyFill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left" vertical="top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 locked="0"/>
    </xf>
    <xf numFmtId="0" fontId="17" fillId="0" borderId="10" xfId="0" applyFont="1" applyFill="1" applyBorder="1" applyAlignment="1" applyProtection="1">
      <alignment horizontal="center" shrinkToFit="1"/>
      <protection hidden="1" locked="0"/>
    </xf>
    <xf numFmtId="0" fontId="17" fillId="0" borderId="0" xfId="0" applyFont="1" applyFill="1" applyBorder="1" applyAlignment="1" applyProtection="1">
      <alignment horizontal="center" shrinkToFit="1"/>
      <protection hidden="1" locked="0"/>
    </xf>
    <xf numFmtId="0" fontId="17" fillId="0" borderId="16" xfId="0" applyFont="1" applyFill="1" applyBorder="1" applyAlignment="1" applyProtection="1">
      <alignment horizontal="center" shrinkToFit="1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1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95" xfId="0" applyFont="1" applyFill="1" applyBorder="1" applyAlignment="1" applyProtection="1">
      <alignment horizontal="center"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75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6" xfId="0" applyFont="1" applyFill="1" applyBorder="1" applyAlignment="1" applyProtection="1">
      <alignment horizontal="center"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26" xfId="0" applyFont="1" applyFill="1" applyBorder="1" applyAlignment="1" applyProtection="1">
      <alignment horizontal="center"/>
      <protection hidden="1"/>
    </xf>
    <xf numFmtId="0" fontId="18" fillId="0" borderId="95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88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 wrapText="1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left" vertical="top" wrapText="1"/>
    </xf>
    <xf numFmtId="0" fontId="0" fillId="152" borderId="97" xfId="0" applyFill="1" applyBorder="1" applyAlignment="1" applyProtection="1">
      <alignment horizontal="center"/>
      <protection hidden="1" locked="0"/>
    </xf>
    <xf numFmtId="0" fontId="0" fillId="153" borderId="98" xfId="0" applyFill="1" applyBorder="1" applyAlignment="1" applyProtection="1">
      <alignment horizontal="center"/>
      <protection hidden="1" locked="0"/>
    </xf>
    <xf numFmtId="0" fontId="0" fillId="154" borderId="99" xfId="0" applyFill="1" applyBorder="1" applyAlignment="1" applyProtection="1">
      <alignment horizontal="center"/>
      <protection hidden="1" locked="0"/>
    </xf>
    <xf numFmtId="0" fontId="0" fillId="155" borderId="20" xfId="0" applyFill="1" applyBorder="1" applyAlignment="1" applyProtection="1">
      <alignment horizontal="left"/>
      <protection hidden="1" locked="0"/>
    </xf>
    <xf numFmtId="0" fontId="0" fillId="156" borderId="20" xfId="0" applyFill="1" applyBorder="1" applyAlignment="1" applyProtection="1">
      <alignment horizontal="center"/>
      <protection hidden="1" locked="0"/>
    </xf>
    <xf numFmtId="0" fontId="0" fillId="157" borderId="18" xfId="0" applyFill="1" applyBorder="1" applyAlignment="1" applyProtection="1">
      <alignment horizontal="center"/>
      <protection hidden="1" locked="0"/>
    </xf>
    <xf numFmtId="0" fontId="0" fillId="158" borderId="79" xfId="0" applyFill="1" applyBorder="1" applyAlignment="1" applyProtection="1">
      <alignment horizontal="center"/>
      <protection hidden="1" locked="0"/>
    </xf>
    <xf numFmtId="0" fontId="0" fillId="159" borderId="100" xfId="0" applyFill="1" applyBorder="1" applyAlignment="1" applyProtection="1">
      <alignment horizontal="center"/>
      <protection hidden="1" locked="0"/>
    </xf>
    <xf numFmtId="0" fontId="128" fillId="160" borderId="11" xfId="0" applyFont="1" applyFill="1" applyBorder="1" applyAlignment="1" applyProtection="1">
      <alignment horizontal="center"/>
      <protection hidden="1"/>
    </xf>
    <xf numFmtId="0" fontId="128" fillId="161" borderId="0" xfId="0" applyFont="1" applyFill="1" applyBorder="1" applyAlignment="1" applyProtection="1">
      <alignment horizontal="center"/>
      <protection hidden="1"/>
    </xf>
    <xf numFmtId="0" fontId="129" fillId="162" borderId="11" xfId="0" applyFont="1" applyFill="1" applyBorder="1" applyAlignment="1" applyProtection="1">
      <alignment horizontal="center" vertical="center"/>
      <protection hidden="1"/>
    </xf>
    <xf numFmtId="0" fontId="129" fillId="163" borderId="0" xfId="0" applyFont="1" applyFill="1" applyBorder="1" applyAlignment="1" applyProtection="1">
      <alignment horizontal="center" vertical="center"/>
      <protection hidden="1"/>
    </xf>
    <xf numFmtId="0" fontId="0" fillId="164" borderId="40" xfId="0" applyFill="1" applyBorder="1" applyAlignment="1" applyProtection="1">
      <alignment horizontal="center"/>
      <protection hidden="1"/>
    </xf>
    <xf numFmtId="0" fontId="129" fillId="0" borderId="101" xfId="0" applyFont="1" applyBorder="1" applyAlignment="1" applyProtection="1">
      <alignment horizontal="center" vertical="center"/>
      <protection hidden="1"/>
    </xf>
    <xf numFmtId="0" fontId="129" fillId="0" borderId="102" xfId="0" applyFont="1" applyBorder="1" applyAlignment="1" applyProtection="1">
      <alignment horizontal="center" vertical="center"/>
      <protection hidden="1"/>
    </xf>
    <xf numFmtId="0" fontId="129" fillId="0" borderId="103" xfId="0" applyFont="1" applyBorder="1" applyAlignment="1" applyProtection="1">
      <alignment horizontal="center" vertical="center"/>
      <protection hidden="1"/>
    </xf>
    <xf numFmtId="0" fontId="129" fillId="165" borderId="76" xfId="0" applyFont="1" applyFill="1" applyBorder="1" applyAlignment="1" applyProtection="1">
      <alignment horizontal="center" vertical="center"/>
      <protection hidden="1" locked="0"/>
    </xf>
    <xf numFmtId="0" fontId="129" fillId="166" borderId="20" xfId="0" applyFont="1" applyFill="1" applyBorder="1" applyAlignment="1" applyProtection="1">
      <alignment horizontal="center" vertical="center"/>
      <protection hidden="1" locked="0"/>
    </xf>
    <xf numFmtId="0" fontId="129" fillId="167" borderId="77" xfId="0" applyFont="1" applyFill="1" applyBorder="1" applyAlignment="1" applyProtection="1">
      <alignment horizontal="center" vertical="center"/>
      <protection hidden="1" locked="0"/>
    </xf>
    <xf numFmtId="0" fontId="99" fillId="0" borderId="18" xfId="53" applyBorder="1" applyAlignment="1" applyProtection="1">
      <alignment horizontal="center"/>
      <protection hidden="1" locked="0"/>
    </xf>
    <xf numFmtId="0" fontId="99" fillId="0" borderId="24" xfId="53" applyBorder="1" applyAlignment="1" applyProtection="1">
      <alignment horizontal="center"/>
      <protection hidden="1" locked="0"/>
    </xf>
    <xf numFmtId="0" fontId="99" fillId="0" borderId="26" xfId="53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 wrapText="1"/>
      <protection hidden="1" locked="0"/>
    </xf>
    <xf numFmtId="0" fontId="0" fillId="0" borderId="24" xfId="0" applyBorder="1" applyAlignment="1" applyProtection="1">
      <alignment horizontal="center" wrapText="1"/>
      <protection hidden="1" locked="0"/>
    </xf>
    <xf numFmtId="0" fontId="0" fillId="0" borderId="26" xfId="0" applyBorder="1" applyAlignment="1" applyProtection="1">
      <alignment horizontal="center" wrapText="1"/>
      <protection hidden="1" locked="0"/>
    </xf>
    <xf numFmtId="0" fontId="107" fillId="0" borderId="25" xfId="0" applyFont="1" applyBorder="1" applyAlignment="1" applyProtection="1">
      <alignment horizontal="center"/>
      <protection hidden="1" locked="0"/>
    </xf>
    <xf numFmtId="0" fontId="107" fillId="0" borderId="24" xfId="0" applyFont="1" applyBorder="1" applyAlignment="1" applyProtection="1">
      <alignment horizontal="center"/>
      <protection hidden="1" locked="0"/>
    </xf>
    <xf numFmtId="0" fontId="107" fillId="0" borderId="26" xfId="0" applyFont="1" applyBorder="1" applyAlignment="1" applyProtection="1">
      <alignment horizontal="center"/>
      <protection hidden="1" locked="0"/>
    </xf>
    <xf numFmtId="0" fontId="107" fillId="0" borderId="104" xfId="0" applyFont="1" applyBorder="1" applyAlignment="1" applyProtection="1">
      <alignment horizontal="center"/>
      <protection hidden="1" locked="0"/>
    </xf>
    <xf numFmtId="0" fontId="107" fillId="0" borderId="105" xfId="0" applyFont="1" applyBorder="1" applyAlignment="1" applyProtection="1">
      <alignment horizontal="center"/>
      <protection hidden="1" locked="0"/>
    </xf>
    <xf numFmtId="0" fontId="107" fillId="0" borderId="106" xfId="0" applyFont="1" applyBorder="1" applyAlignment="1" applyProtection="1">
      <alignment horizontal="center"/>
      <protection hidden="1" locked="0"/>
    </xf>
    <xf numFmtId="0" fontId="130" fillId="168" borderId="76" xfId="0" applyFont="1" applyFill="1" applyBorder="1" applyAlignment="1" applyProtection="1">
      <alignment horizontal="center" wrapText="1"/>
      <protection hidden="1" locked="0"/>
    </xf>
    <xf numFmtId="0" fontId="130" fillId="169" borderId="20" xfId="0" applyFont="1" applyFill="1" applyBorder="1" applyAlignment="1" applyProtection="1">
      <alignment horizontal="center" wrapText="1"/>
      <protection hidden="1" locked="0"/>
    </xf>
    <xf numFmtId="0" fontId="130" fillId="170" borderId="77" xfId="0" applyFont="1" applyFill="1" applyBorder="1" applyAlignment="1" applyProtection="1">
      <alignment horizontal="center" wrapText="1"/>
      <protection hidden="1" locked="0"/>
    </xf>
    <xf numFmtId="0" fontId="99" fillId="171" borderId="44" xfId="53" applyFill="1" applyBorder="1" applyAlignment="1" applyProtection="1">
      <alignment horizontal="center" vertical="top" wrapText="1"/>
      <protection hidden="1" locked="0"/>
    </xf>
    <xf numFmtId="0" fontId="0" fillId="172" borderId="44" xfId="0" applyFill="1" applyBorder="1" applyAlignment="1" applyProtection="1">
      <alignment horizontal="center" vertical="top"/>
      <protection hidden="1" locked="0"/>
    </xf>
    <xf numFmtId="0" fontId="0" fillId="173" borderId="45" xfId="0" applyFill="1" applyBorder="1" applyAlignment="1" applyProtection="1">
      <alignment horizontal="center" vertical="top"/>
      <protection hidden="1" locked="0"/>
    </xf>
    <xf numFmtId="0" fontId="0" fillId="174" borderId="0" xfId="0" applyFill="1" applyBorder="1" applyAlignment="1" applyProtection="1">
      <alignment horizontal="center" vertical="top"/>
      <protection hidden="1" locked="0"/>
    </xf>
    <xf numFmtId="0" fontId="0" fillId="175" borderId="16" xfId="0" applyFill="1" applyBorder="1" applyAlignment="1" applyProtection="1">
      <alignment horizontal="center" vertical="top"/>
      <protection hidden="1" locked="0"/>
    </xf>
    <xf numFmtId="0" fontId="0" fillId="176" borderId="40" xfId="0" applyFill="1" applyBorder="1" applyAlignment="1" applyProtection="1">
      <alignment horizontal="center" vertical="top"/>
      <protection hidden="1" locked="0"/>
    </xf>
    <xf numFmtId="0" fontId="0" fillId="177" borderId="41" xfId="0" applyFill="1" applyBorder="1" applyAlignment="1" applyProtection="1">
      <alignment horizontal="center" vertical="top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Form-16(1)'!A1" /><Relationship Id="rId3" Type="http://schemas.openxmlformats.org/officeDocument/2006/relationships/hyperlink" Target="#'Form-16(2)'!A1" /><Relationship Id="rId4" Type="http://schemas.openxmlformats.org/officeDocument/2006/relationships/hyperlink" Target="#RENT!A1" /><Relationship Id="rId5" Type="http://schemas.openxmlformats.org/officeDocument/2006/relationships/hyperlink" Target="#DA!A1" /><Relationship Id="rId6" Type="http://schemas.openxmlformats.org/officeDocument/2006/relationships/hyperlink" Target="#'Salary Details'!A1" /><Relationship Id="rId7" Type="http://schemas.openxmlformats.org/officeDocument/2006/relationships/hyperlink" Target="#'Income Tax Form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'Income Tax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DATA!A1" /><Relationship Id="rId3" Type="http://schemas.openxmlformats.org/officeDocument/2006/relationships/hyperlink" Target="#DATA!A1" /><Relationship Id="rId4" Type="http://schemas.openxmlformats.org/officeDocument/2006/relationships/hyperlink" Target="#'Salary Detail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133350</xdr:colOff>
      <xdr:row>0</xdr:row>
      <xdr:rowOff>57150</xdr:rowOff>
    </xdr:from>
    <xdr:to>
      <xdr:col>57</xdr:col>
      <xdr:colOff>266700</xdr:colOff>
      <xdr:row>4</xdr:row>
      <xdr:rowOff>28575</xdr:rowOff>
    </xdr:to>
    <xdr:sp>
      <xdr:nvSpPr>
        <xdr:cNvPr id="1" name="Rectangle 13"/>
        <xdr:cNvSpPr>
          <a:spLocks/>
        </xdr:cNvSpPr>
      </xdr:nvSpPr>
      <xdr:spPr>
        <a:xfrm>
          <a:off x="8572500" y="57150"/>
          <a:ext cx="2228850" cy="1247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228600</xdr:colOff>
      <xdr:row>0</xdr:row>
      <xdr:rowOff>171450</xdr:rowOff>
    </xdr:from>
    <xdr:to>
      <xdr:col>51</xdr:col>
      <xdr:colOff>9525</xdr:colOff>
      <xdr:row>1</xdr:row>
      <xdr:rowOff>400050</xdr:rowOff>
    </xdr:to>
    <xdr:sp>
      <xdr:nvSpPr>
        <xdr:cNvPr id="2" name="Rounded Rectangle 3"/>
        <xdr:cNvSpPr>
          <a:spLocks/>
        </xdr:cNvSpPr>
      </xdr:nvSpPr>
      <xdr:spPr>
        <a:xfrm>
          <a:off x="228600" y="171450"/>
          <a:ext cx="8020050" cy="4572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INCOME TAX RETURN FOR THE YEAR     2012-2013</a:t>
          </a: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52</xdr:col>
      <xdr:colOff>295275</xdr:colOff>
      <xdr:row>4</xdr:row>
      <xdr:rowOff>123825</xdr:rowOff>
    </xdr:from>
    <xdr:to>
      <xdr:col>57</xdr:col>
      <xdr:colOff>76200</xdr:colOff>
      <xdr:row>12</xdr:row>
      <xdr:rowOff>133350</xdr:rowOff>
    </xdr:to>
    <xdr:grpSp>
      <xdr:nvGrpSpPr>
        <xdr:cNvPr id="3" name="Group 7"/>
        <xdr:cNvGrpSpPr>
          <a:grpSpLocks/>
        </xdr:cNvGrpSpPr>
      </xdr:nvGrpSpPr>
      <xdr:grpSpPr>
        <a:xfrm>
          <a:off x="8734425" y="1400175"/>
          <a:ext cx="1876425" cy="2381250"/>
          <a:chOff x="7829550" y="1228725"/>
          <a:chExt cx="1878711" cy="2385441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7829550" y="1228725"/>
            <a:ext cx="1800275" cy="2304932"/>
          </a:xfrm>
          <a:prstGeom prst="rect">
            <a:avLst/>
          </a:prstGeom>
          <a:solidFill>
            <a:srgbClr val="31859C"/>
          </a:solidFill>
          <a:ln w="25400" cmpd="sng">
            <a:solidFill>
              <a:srgbClr val="B66D3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29550" y="1182210"/>
            <a:ext cx="1920043" cy="24325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52</xdr:col>
      <xdr:colOff>104775</xdr:colOff>
      <xdr:row>13</xdr:row>
      <xdr:rowOff>0</xdr:rowOff>
    </xdr:from>
    <xdr:to>
      <xdr:col>57</xdr:col>
      <xdr:colOff>323850</xdr:colOff>
      <xdr:row>17</xdr:row>
      <xdr:rowOff>228600</xdr:rowOff>
    </xdr:to>
    <xdr:sp>
      <xdr:nvSpPr>
        <xdr:cNvPr id="6" name="Rounded Rectangle 2"/>
        <xdr:cNvSpPr>
          <a:spLocks/>
        </xdr:cNvSpPr>
      </xdr:nvSpPr>
      <xdr:spPr>
        <a:xfrm>
          <a:off x="8543925" y="3914775"/>
          <a:ext cx="2314575" cy="15240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S.SESHADRI.</a:t>
          </a:r>
          <a:r>
            <a:rPr lang="en-US" cap="none" sz="10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M.Sc.,B.Ed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.,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School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Asst Maths,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Z.P.High School,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M.D Mangalam,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G.D Nellore.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Ph:9492070567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mail:sesadri@gmail.com</a:t>
          </a:r>
        </a:p>
      </xdr:txBody>
    </xdr:sp>
    <xdr:clientData/>
  </xdr:twoCellAnchor>
  <xdr:twoCellAnchor>
    <xdr:from>
      <xdr:col>52</xdr:col>
      <xdr:colOff>209550</xdr:colOff>
      <xdr:row>1</xdr:row>
      <xdr:rowOff>257175</xdr:rowOff>
    </xdr:from>
    <xdr:to>
      <xdr:col>54</xdr:col>
      <xdr:colOff>276225</xdr:colOff>
      <xdr:row>2</xdr:row>
      <xdr:rowOff>142875</xdr:rowOff>
    </xdr:to>
    <xdr:sp>
      <xdr:nvSpPr>
        <xdr:cNvPr id="7" name="Rounded Rectangle 12">
          <a:hlinkClick r:id="rId2"/>
        </xdr:cNvPr>
        <xdr:cNvSpPr>
          <a:spLocks/>
        </xdr:cNvSpPr>
      </xdr:nvSpPr>
      <xdr:spPr>
        <a:xfrm>
          <a:off x="8648700" y="485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Form(16)-1</a:t>
          </a:r>
        </a:p>
      </xdr:txBody>
    </xdr:sp>
    <xdr:clientData/>
  </xdr:twoCellAnchor>
  <xdr:twoCellAnchor>
    <xdr:from>
      <xdr:col>55</xdr:col>
      <xdr:colOff>123825</xdr:colOff>
      <xdr:row>1</xdr:row>
      <xdr:rowOff>276225</xdr:rowOff>
    </xdr:from>
    <xdr:to>
      <xdr:col>57</xdr:col>
      <xdr:colOff>190500</xdr:colOff>
      <xdr:row>2</xdr:row>
      <xdr:rowOff>161925</xdr:rowOff>
    </xdr:to>
    <xdr:sp>
      <xdr:nvSpPr>
        <xdr:cNvPr id="8" name="Rounded Rectangle 41">
          <a:hlinkClick r:id="rId3"/>
        </xdr:cNvPr>
        <xdr:cNvSpPr>
          <a:spLocks/>
        </xdr:cNvSpPr>
      </xdr:nvSpPr>
      <xdr:spPr>
        <a:xfrm>
          <a:off x="9820275" y="504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Form(16)-2</a:t>
          </a:r>
        </a:p>
      </xdr:txBody>
    </xdr:sp>
    <xdr:clientData/>
  </xdr:twoCellAnchor>
  <xdr:twoCellAnchor>
    <xdr:from>
      <xdr:col>52</xdr:col>
      <xdr:colOff>219075</xdr:colOff>
      <xdr:row>2</xdr:row>
      <xdr:rowOff>228600</xdr:rowOff>
    </xdr:from>
    <xdr:to>
      <xdr:col>54</xdr:col>
      <xdr:colOff>285750</xdr:colOff>
      <xdr:row>3</xdr:row>
      <xdr:rowOff>219075</xdr:rowOff>
    </xdr:to>
    <xdr:sp>
      <xdr:nvSpPr>
        <xdr:cNvPr id="9" name="Rounded Rectangle 42">
          <a:hlinkClick r:id="rId4"/>
        </xdr:cNvPr>
        <xdr:cNvSpPr>
          <a:spLocks/>
        </xdr:cNvSpPr>
      </xdr:nvSpPr>
      <xdr:spPr>
        <a:xfrm>
          <a:off x="8658225" y="876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Certi</a:t>
          </a:r>
        </a:p>
      </xdr:txBody>
    </xdr:sp>
    <xdr:clientData/>
  </xdr:twoCellAnchor>
  <xdr:twoCellAnchor>
    <xdr:from>
      <xdr:col>55</xdr:col>
      <xdr:colOff>123825</xdr:colOff>
      <xdr:row>2</xdr:row>
      <xdr:rowOff>238125</xdr:rowOff>
    </xdr:from>
    <xdr:to>
      <xdr:col>57</xdr:col>
      <xdr:colOff>190500</xdr:colOff>
      <xdr:row>3</xdr:row>
      <xdr:rowOff>228600</xdr:rowOff>
    </xdr:to>
    <xdr:sp>
      <xdr:nvSpPr>
        <xdr:cNvPr id="10" name="Rounded Rectangle 43">
          <a:hlinkClick r:id="rId5"/>
        </xdr:cNvPr>
        <xdr:cNvSpPr>
          <a:spLocks/>
        </xdr:cNvSpPr>
      </xdr:nvSpPr>
      <xdr:spPr>
        <a:xfrm>
          <a:off x="9820275" y="885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Table</a:t>
          </a:r>
        </a:p>
      </xdr:txBody>
    </xdr:sp>
    <xdr:clientData/>
  </xdr:twoCellAnchor>
  <xdr:twoCellAnchor>
    <xdr:from>
      <xdr:col>52</xdr:col>
      <xdr:colOff>209550</xdr:colOff>
      <xdr:row>0</xdr:row>
      <xdr:rowOff>114300</xdr:rowOff>
    </xdr:from>
    <xdr:to>
      <xdr:col>54</xdr:col>
      <xdr:colOff>333375</xdr:colOff>
      <xdr:row>1</xdr:row>
      <xdr:rowOff>190500</xdr:rowOff>
    </xdr:to>
    <xdr:sp>
      <xdr:nvSpPr>
        <xdr:cNvPr id="11" name="Rounded Rectangle 44">
          <a:hlinkClick r:id="rId6"/>
        </xdr:cNvPr>
        <xdr:cNvSpPr>
          <a:spLocks/>
        </xdr:cNvSpPr>
      </xdr:nvSpPr>
      <xdr:spPr>
        <a:xfrm>
          <a:off x="8648700" y="1143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55</xdr:col>
      <xdr:colOff>104775</xdr:colOff>
      <xdr:row>0</xdr:row>
      <xdr:rowOff>104775</xdr:rowOff>
    </xdr:from>
    <xdr:to>
      <xdr:col>57</xdr:col>
      <xdr:colOff>171450</xdr:colOff>
      <xdr:row>1</xdr:row>
      <xdr:rowOff>180975</xdr:rowOff>
    </xdr:to>
    <xdr:sp>
      <xdr:nvSpPr>
        <xdr:cNvPr id="12" name="Rounded Rectangle 45">
          <a:hlinkClick r:id="rId7"/>
        </xdr:cNvPr>
        <xdr:cNvSpPr>
          <a:spLocks/>
        </xdr:cNvSpPr>
      </xdr:nvSpPr>
      <xdr:spPr>
        <a:xfrm>
          <a:off x="9801225" y="104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58</xdr:col>
      <xdr:colOff>47625</xdr:colOff>
      <xdr:row>5</xdr:row>
      <xdr:rowOff>257175</xdr:rowOff>
    </xdr:from>
    <xdr:to>
      <xdr:col>62</xdr:col>
      <xdr:colOff>133350</xdr:colOff>
      <xdr:row>12</xdr:row>
      <xdr:rowOff>228600</xdr:rowOff>
    </xdr:to>
    <xdr:sp>
      <xdr:nvSpPr>
        <xdr:cNvPr id="13" name="Rounded Rectangle 4"/>
        <xdr:cNvSpPr>
          <a:spLocks/>
        </xdr:cNvSpPr>
      </xdr:nvSpPr>
      <xdr:spPr>
        <a:xfrm>
          <a:off x="11001375" y="1847850"/>
          <a:ext cx="1952625" cy="2028825"/>
        </a:xfrm>
        <a:prstGeom prst="roundRect">
          <a:avLst/>
        </a:prstGeom>
        <a:solidFill>
          <a:srgbClr val="FCD5B5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G.Kishore Kumar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SG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Teacher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MPP School                              Changanapalle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Irala Mandal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Chittoor District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Ph:9491312314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Feel free to contact if any problem face......</a:t>
          </a:r>
        </a:p>
      </xdr:txBody>
    </xdr:sp>
    <xdr:clientData/>
  </xdr:twoCellAnchor>
  <xdr:twoCellAnchor>
    <xdr:from>
      <xdr:col>43</xdr:col>
      <xdr:colOff>0</xdr:colOff>
      <xdr:row>4</xdr:row>
      <xdr:rowOff>295275</xdr:rowOff>
    </xdr:from>
    <xdr:to>
      <xdr:col>51</xdr:col>
      <xdr:colOff>9525</xdr:colOff>
      <xdr:row>5</xdr:row>
      <xdr:rowOff>304800</xdr:rowOff>
    </xdr:to>
    <xdr:grpSp>
      <xdr:nvGrpSpPr>
        <xdr:cNvPr id="14" name="Group 1"/>
        <xdr:cNvGrpSpPr>
          <a:grpSpLocks/>
        </xdr:cNvGrpSpPr>
      </xdr:nvGrpSpPr>
      <xdr:grpSpPr>
        <a:xfrm>
          <a:off x="4867275" y="1571625"/>
          <a:ext cx="3381375" cy="323850"/>
          <a:chOff x="22145625" y="790575"/>
          <a:chExt cx="1800225" cy="2000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</xdr:row>
      <xdr:rowOff>76200</xdr:rowOff>
    </xdr:from>
    <xdr:to>
      <xdr:col>19</xdr:col>
      <xdr:colOff>552450</xdr:colOff>
      <xdr:row>2</xdr:row>
      <xdr:rowOff>219075</xdr:rowOff>
    </xdr:to>
    <xdr:sp>
      <xdr:nvSpPr>
        <xdr:cNvPr id="1" name="Rounded Rectangle 5">
          <a:hlinkClick r:id="rId1"/>
        </xdr:cNvPr>
        <xdr:cNvSpPr>
          <a:spLocks/>
        </xdr:cNvSpPr>
      </xdr:nvSpPr>
      <xdr:spPr>
        <a:xfrm>
          <a:off x="10982325" y="2762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18</xdr:col>
      <xdr:colOff>295275</xdr:colOff>
      <xdr:row>4</xdr:row>
      <xdr:rowOff>19050</xdr:rowOff>
    </xdr:from>
    <xdr:to>
      <xdr:col>19</xdr:col>
      <xdr:colOff>590550</xdr:colOff>
      <xdr:row>5</xdr:row>
      <xdr:rowOff>133350</xdr:rowOff>
    </xdr:to>
    <xdr:sp>
      <xdr:nvSpPr>
        <xdr:cNvPr id="2" name="Rounded Rectangle 7">
          <a:hlinkClick r:id="rId2"/>
        </xdr:cNvPr>
        <xdr:cNvSpPr>
          <a:spLocks/>
        </xdr:cNvSpPr>
      </xdr:nvSpPr>
      <xdr:spPr>
        <a:xfrm>
          <a:off x="10972800" y="104775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18</xdr:col>
      <xdr:colOff>333375</xdr:colOff>
      <xdr:row>7</xdr:row>
      <xdr:rowOff>180975</xdr:rowOff>
    </xdr:from>
    <xdr:to>
      <xdr:col>20</xdr:col>
      <xdr:colOff>19050</xdr:colOff>
      <xdr:row>9</xdr:row>
      <xdr:rowOff>104775</xdr:rowOff>
    </xdr:to>
    <xdr:sp macro="[0]!Sheet1.MyPrintSALFRM">
      <xdr:nvSpPr>
        <xdr:cNvPr id="3" name="Rounded Rectangle 3"/>
        <xdr:cNvSpPr>
          <a:spLocks/>
        </xdr:cNvSpPr>
      </xdr:nvSpPr>
      <xdr:spPr>
        <a:xfrm>
          <a:off x="11010900" y="17811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247650</xdr:colOff>
      <xdr:row>2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086600" y="2000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247650</xdr:colOff>
      <xdr:row>34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086600" y="63627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19050</xdr:colOff>
      <xdr:row>61</xdr:row>
      <xdr:rowOff>133350</xdr:rowOff>
    </xdr:from>
    <xdr:to>
      <xdr:col>13</xdr:col>
      <xdr:colOff>266700</xdr:colOff>
      <xdr:row>63</xdr:row>
      <xdr:rowOff>85725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05650" y="119538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352425</xdr:colOff>
      <xdr:row>7</xdr:row>
      <xdr:rowOff>104775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7086600" y="112395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11</xdr:col>
      <xdr:colOff>600075</xdr:colOff>
      <xdr:row>9</xdr:row>
      <xdr:rowOff>133350</xdr:rowOff>
    </xdr:from>
    <xdr:to>
      <xdr:col>13</xdr:col>
      <xdr:colOff>342900</xdr:colOff>
      <xdr:row>11</xdr:row>
      <xdr:rowOff>57150</xdr:rowOff>
    </xdr:to>
    <xdr:sp macro="[0]!Sheet1.MyPrintIT">
      <xdr:nvSpPr>
        <xdr:cNvPr id="5" name="Rounded Rectangle 5"/>
        <xdr:cNvSpPr>
          <a:spLocks/>
        </xdr:cNvSpPr>
      </xdr:nvSpPr>
      <xdr:spPr>
        <a:xfrm>
          <a:off x="7077075" y="1847850"/>
          <a:ext cx="96202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15</xdr:col>
      <xdr:colOff>352425</xdr:colOff>
      <xdr:row>6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19875" y="10287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247650</xdr:colOff>
      <xdr:row>3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6619875" y="4667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295275</xdr:colOff>
      <xdr:row>9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6619875" y="1638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14</xdr:col>
      <xdr:colOff>28575</xdr:colOff>
      <xdr:row>11</xdr:row>
      <xdr:rowOff>38100</xdr:rowOff>
    </xdr:from>
    <xdr:to>
      <xdr:col>15</xdr:col>
      <xdr:colOff>323850</xdr:colOff>
      <xdr:row>12</xdr:row>
      <xdr:rowOff>152400</xdr:rowOff>
    </xdr:to>
    <xdr:sp macro="[0]!Sheet1.MyPrint16A">
      <xdr:nvSpPr>
        <xdr:cNvPr id="4" name="Rounded Rectangle 5"/>
        <xdr:cNvSpPr>
          <a:spLocks/>
        </xdr:cNvSpPr>
      </xdr:nvSpPr>
      <xdr:spPr>
        <a:xfrm>
          <a:off x="6648450" y="23526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14</xdr:col>
      <xdr:colOff>323850</xdr:colOff>
      <xdr:row>5</xdr:row>
      <xdr:rowOff>95250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72325" y="809625"/>
          <a:ext cx="933450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247650</xdr:colOff>
      <xdr:row>3</xdr:row>
      <xdr:rowOff>57150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172325" y="3905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295275</xdr:colOff>
      <xdr:row>8</xdr:row>
      <xdr:rowOff>95250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72325" y="14382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13</xdr:col>
      <xdr:colOff>9525</xdr:colOff>
      <xdr:row>9</xdr:row>
      <xdr:rowOff>133350</xdr:rowOff>
    </xdr:from>
    <xdr:to>
      <xdr:col>14</xdr:col>
      <xdr:colOff>304800</xdr:colOff>
      <xdr:row>11</xdr:row>
      <xdr:rowOff>19050</xdr:rowOff>
    </xdr:to>
    <xdr:sp macro="[0]!Sheet1.MyPrint16B">
      <xdr:nvSpPr>
        <xdr:cNvPr id="4" name="Rounded Rectangle 4"/>
        <xdr:cNvSpPr>
          <a:spLocks/>
        </xdr:cNvSpPr>
      </xdr:nvSpPr>
      <xdr:spPr>
        <a:xfrm>
          <a:off x="7181850" y="199072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11</xdr:col>
      <xdr:colOff>247650</xdr:colOff>
      <xdr:row>4</xdr:row>
      <xdr:rowOff>76200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905500" y="7620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295275</xdr:colOff>
      <xdr:row>7</xdr:row>
      <xdr:rowOff>304800</xdr:rowOff>
    </xdr:to>
    <xdr:sp macro="[0]!Sheet1.MyPrintRENT">
      <xdr:nvSpPr>
        <xdr:cNvPr id="2" name="Rounded Rectangle 2"/>
        <xdr:cNvSpPr>
          <a:spLocks/>
        </xdr:cNvSpPr>
      </xdr:nvSpPr>
      <xdr:spPr>
        <a:xfrm>
          <a:off x="5905500" y="1524000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6</xdr:col>
      <xdr:colOff>342900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2733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5</xdr:row>
      <xdr:rowOff>209550</xdr:rowOff>
    </xdr:from>
    <xdr:to>
      <xdr:col>19</xdr:col>
      <xdr:colOff>352425</xdr:colOff>
      <xdr:row>6</xdr:row>
      <xdr:rowOff>152400</xdr:rowOff>
    </xdr:to>
    <xdr:sp macro="[2]!Macro2">
      <xdr:nvSpPr>
        <xdr:cNvPr id="2" name="Rounded Rectangle 15"/>
        <xdr:cNvSpPr>
          <a:spLocks/>
        </xdr:cNvSpPr>
      </xdr:nvSpPr>
      <xdr:spPr>
        <a:xfrm>
          <a:off x="6286500" y="2143125"/>
          <a:ext cx="16954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PRINT DA</a:t>
          </a: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 TABLE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352425</xdr:colOff>
      <xdr:row>2</xdr:row>
      <xdr:rowOff>228600</xdr:rowOff>
    </xdr:to>
    <xdr:sp>
      <xdr:nvSpPr>
        <xdr:cNvPr id="3" name="Right Arrow 16"/>
        <xdr:cNvSpPr>
          <a:spLocks/>
        </xdr:cNvSpPr>
      </xdr:nvSpPr>
      <xdr:spPr>
        <a:xfrm>
          <a:off x="2200275" y="523875"/>
          <a:ext cx="590550" cy="85725"/>
        </a:xfrm>
        <a:prstGeom prst="rightArrow">
          <a:avLst>
            <a:gd name="adj" fmla="val 42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152400</xdr:colOff>
      <xdr:row>4</xdr:row>
      <xdr:rowOff>266700</xdr:rowOff>
    </xdr:to>
    <xdr:sp>
      <xdr:nvSpPr>
        <xdr:cNvPr id="4" name="Rounded Rectangle 17">
          <a:hlinkClick r:id="rId2"/>
        </xdr:cNvPr>
        <xdr:cNvSpPr>
          <a:spLocks/>
        </xdr:cNvSpPr>
      </xdr:nvSpPr>
      <xdr:spPr>
        <a:xfrm>
          <a:off x="6572250" y="15144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ENUKA\Downloads\IT2011-12PR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MP\dump%20latest\DA%20Recon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Salary Form"/>
      <sheetName val="Income TAX"/>
      <sheetName val="Form 16 Page1"/>
      <sheetName val="Form 16 Page2"/>
    </sheetNames>
    <sheetDataSet>
      <sheetData sheetId="2">
        <row r="23">
          <cell r="J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S_2010_DAs"/>
      <sheetName val="Sheet2"/>
      <sheetName val="Sheet3"/>
      <sheetName val="DA Reconer1"/>
    </sheetNames>
    <definedNames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J147"/>
  <sheetViews>
    <sheetView showGridLines="0" showRowColHeaders="0" tabSelected="1" workbookViewId="0" topLeftCell="AH1">
      <selection activeCell="A1" sqref="A1"/>
    </sheetView>
  </sheetViews>
  <sheetFormatPr defaultColWidth="9.140625" defaultRowHeight="15"/>
  <cols>
    <col min="1" max="1" width="7.140625" style="53" hidden="1" customWidth="1"/>
    <col min="2" max="2" width="10.421875" style="53" hidden="1" customWidth="1"/>
    <col min="3" max="3" width="39.57421875" style="53" hidden="1" customWidth="1"/>
    <col min="4" max="4" width="106.57421875" style="53" hidden="1" customWidth="1"/>
    <col min="5" max="5" width="6.00390625" style="53" hidden="1" customWidth="1"/>
    <col min="6" max="6" width="15.421875" style="53" hidden="1" customWidth="1"/>
    <col min="7" max="7" width="5.57421875" style="53" hidden="1" customWidth="1"/>
    <col min="8" max="8" width="5.00390625" style="53" hidden="1" customWidth="1"/>
    <col min="9" max="9" width="6.8515625" style="53" hidden="1" customWidth="1"/>
    <col min="10" max="10" width="18.140625" style="53" hidden="1" customWidth="1"/>
    <col min="11" max="11" width="2.00390625" style="53" hidden="1" customWidth="1"/>
    <col min="12" max="12" width="5.00390625" style="53" hidden="1" customWidth="1"/>
    <col min="13" max="13" width="10.421875" style="53" hidden="1" customWidth="1"/>
    <col min="14" max="14" width="15.421875" style="53" hidden="1" customWidth="1"/>
    <col min="15" max="15" width="10.7109375" style="53" hidden="1" customWidth="1"/>
    <col min="16" max="16" width="12.28125" style="53" hidden="1" customWidth="1"/>
    <col min="17" max="17" width="9.7109375" style="53" hidden="1" customWidth="1"/>
    <col min="18" max="18" width="19.28125" style="53" hidden="1" customWidth="1"/>
    <col min="19" max="19" width="45.421875" style="53" hidden="1" customWidth="1"/>
    <col min="20" max="20" width="17.00390625" style="53" hidden="1" customWidth="1"/>
    <col min="21" max="21" width="49.421875" style="53" hidden="1" customWidth="1"/>
    <col min="22" max="22" width="10.57421875" style="53" hidden="1" customWidth="1"/>
    <col min="23" max="23" width="10.8515625" style="53" hidden="1" customWidth="1"/>
    <col min="24" max="24" width="76.421875" style="53" hidden="1" customWidth="1"/>
    <col min="25" max="25" width="6.57421875" style="53" hidden="1" customWidth="1"/>
    <col min="26" max="26" width="4.57421875" style="53" hidden="1" customWidth="1"/>
    <col min="27" max="27" width="4.00390625" style="53" hidden="1" customWidth="1"/>
    <col min="28" max="32" width="7.7109375" style="53" hidden="1" customWidth="1"/>
    <col min="33" max="33" width="2.57421875" style="53" hidden="1" customWidth="1"/>
    <col min="34" max="34" width="3.7109375" style="53" bestFit="1" customWidth="1"/>
    <col min="35" max="35" width="19.00390625" style="53" bestFit="1" customWidth="1"/>
    <col min="36" max="43" width="6.28125" style="53" customWidth="1"/>
    <col min="44" max="44" width="6.57421875" style="53" customWidth="1"/>
    <col min="45" max="51" width="6.28125" style="53" customWidth="1"/>
    <col min="52" max="52" width="3.00390625" style="53" customWidth="1"/>
    <col min="53" max="61" width="6.28125" style="53" customWidth="1"/>
    <col min="62" max="16384" width="9.140625" style="53" customWidth="1"/>
  </cols>
  <sheetData>
    <row r="1" spans="34:88" ht="18" customHeight="1" thickTop="1">
      <c r="AH1" s="200"/>
      <c r="AI1" s="201" t="s">
        <v>283</v>
      </c>
      <c r="AJ1" s="201"/>
      <c r="AK1" s="201"/>
      <c r="AL1" s="201"/>
      <c r="AM1" s="201"/>
      <c r="AN1" s="201" t="s">
        <v>283</v>
      </c>
      <c r="AO1" s="201"/>
      <c r="AP1" s="201"/>
      <c r="AQ1" s="201"/>
      <c r="AR1" s="201"/>
      <c r="AS1" s="201" t="s">
        <v>283</v>
      </c>
      <c r="AT1" s="201"/>
      <c r="AU1" s="201"/>
      <c r="AV1" s="201"/>
      <c r="AW1" s="201" t="s">
        <v>283</v>
      </c>
      <c r="AX1" s="201"/>
      <c r="AY1" s="201"/>
      <c r="AZ1" s="202"/>
      <c r="BA1" s="203"/>
      <c r="BB1" s="204"/>
      <c r="BC1" s="204"/>
      <c r="BD1" s="204"/>
      <c r="BE1" s="204"/>
      <c r="BF1" s="205"/>
      <c r="BG1" s="375" t="s">
        <v>350</v>
      </c>
      <c r="BH1" s="193"/>
      <c r="BI1" s="193"/>
      <c r="BJ1" s="193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</row>
    <row r="2" spans="34:88" ht="33" customHeight="1" thickBot="1">
      <c r="AH2" s="206"/>
      <c r="AI2" s="436" t="s">
        <v>101</v>
      </c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87" t="s">
        <v>283</v>
      </c>
      <c r="BA2" s="207"/>
      <c r="BB2" s="208"/>
      <c r="BC2" s="208"/>
      <c r="BD2" s="208"/>
      <c r="BE2" s="208"/>
      <c r="BF2" s="209"/>
      <c r="BG2" s="395" t="s">
        <v>376</v>
      </c>
      <c r="BH2" s="396"/>
      <c r="BI2" s="396"/>
      <c r="BJ2" s="396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</row>
    <row r="3" spans="27:88" ht="24.75" customHeight="1" thickBot="1" thickTop="1">
      <c r="AA3" s="199">
        <v>37</v>
      </c>
      <c r="AB3" s="199">
        <f>VLOOKUP(AA3,AA5:AB85,2,0)</f>
        <v>18520</v>
      </c>
      <c r="AH3" s="206"/>
      <c r="AI3" s="434" t="s">
        <v>36</v>
      </c>
      <c r="AJ3" s="432"/>
      <c r="AK3" s="432"/>
      <c r="AL3" s="432"/>
      <c r="AM3" s="440" t="s">
        <v>360</v>
      </c>
      <c r="AN3" s="441"/>
      <c r="AO3" s="441"/>
      <c r="AP3" s="441"/>
      <c r="AQ3" s="442"/>
      <c r="AR3" s="432" t="s">
        <v>37</v>
      </c>
      <c r="AS3" s="432"/>
      <c r="AT3" s="210"/>
      <c r="AU3" s="432" t="s">
        <v>40</v>
      </c>
      <c r="AV3" s="432"/>
      <c r="AW3" s="476" t="s">
        <v>358</v>
      </c>
      <c r="AX3" s="477"/>
      <c r="AY3" s="478"/>
      <c r="AZ3" s="487"/>
      <c r="BA3" s="207"/>
      <c r="BB3" s="208"/>
      <c r="BC3" s="208"/>
      <c r="BD3" s="208"/>
      <c r="BE3" s="208"/>
      <c r="BF3" s="209"/>
      <c r="BG3" s="397"/>
      <c r="BH3" s="396"/>
      <c r="BI3" s="396"/>
      <c r="BJ3" s="396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</row>
    <row r="4" spans="28:88" ht="24.75" customHeight="1" thickBot="1">
      <c r="AB4" s="53" t="s">
        <v>6</v>
      </c>
      <c r="AC4" s="211"/>
      <c r="AD4" s="212"/>
      <c r="AE4" s="212"/>
      <c r="AF4" s="212"/>
      <c r="AG4" s="212"/>
      <c r="AH4" s="446" t="s">
        <v>283</v>
      </c>
      <c r="AI4" s="431" t="s">
        <v>41</v>
      </c>
      <c r="AJ4" s="411"/>
      <c r="AK4" s="411"/>
      <c r="AL4" s="481" t="s">
        <v>354</v>
      </c>
      <c r="AM4" s="482"/>
      <c r="AN4" s="482"/>
      <c r="AO4" s="482"/>
      <c r="AP4" s="483"/>
      <c r="AQ4" s="411" t="s">
        <v>42</v>
      </c>
      <c r="AR4" s="411"/>
      <c r="AS4" s="406" t="s">
        <v>102</v>
      </c>
      <c r="AT4" s="407"/>
      <c r="AU4" s="407"/>
      <c r="AV4" s="408" t="s">
        <v>145</v>
      </c>
      <c r="AW4" s="409"/>
      <c r="AX4" s="406"/>
      <c r="AY4" s="410"/>
      <c r="AZ4" s="487"/>
      <c r="BA4" s="207"/>
      <c r="BB4" s="208"/>
      <c r="BC4" s="208"/>
      <c r="BD4" s="208"/>
      <c r="BE4" s="208"/>
      <c r="BF4" s="209"/>
      <c r="BG4" s="397"/>
      <c r="BH4" s="396"/>
      <c r="BI4" s="396"/>
      <c r="BJ4" s="396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</row>
    <row r="5" spans="27:88" s="213" customFormat="1" ht="24.75" customHeight="1" thickBot="1">
      <c r="AA5" s="213">
        <v>1</v>
      </c>
      <c r="AB5" s="214">
        <v>6700</v>
      </c>
      <c r="AC5" s="215">
        <v>6900</v>
      </c>
      <c r="AD5" s="215">
        <v>7100</v>
      </c>
      <c r="AE5" s="215">
        <v>7300</v>
      </c>
      <c r="AF5" s="215"/>
      <c r="AG5" s="215"/>
      <c r="AH5" s="446"/>
      <c r="AI5" s="431" t="s">
        <v>381</v>
      </c>
      <c r="AJ5" s="411"/>
      <c r="AK5" s="411"/>
      <c r="AL5" s="216"/>
      <c r="AM5" s="368" t="s">
        <v>23</v>
      </c>
      <c r="AN5" s="217">
        <v>80</v>
      </c>
      <c r="AO5" s="368" t="s">
        <v>44</v>
      </c>
      <c r="AP5" s="217">
        <v>70</v>
      </c>
      <c r="AQ5" s="369" t="s">
        <v>25</v>
      </c>
      <c r="AR5" s="217">
        <v>0</v>
      </c>
      <c r="AS5" s="369" t="s">
        <v>47</v>
      </c>
      <c r="AT5" s="217">
        <v>75</v>
      </c>
      <c r="AU5" s="369" t="s">
        <v>27</v>
      </c>
      <c r="AV5" s="216"/>
      <c r="AW5" s="370" t="s">
        <v>26</v>
      </c>
      <c r="AX5" s="443"/>
      <c r="AY5" s="479"/>
      <c r="AZ5" s="487"/>
      <c r="BA5" s="218"/>
      <c r="BB5" s="219"/>
      <c r="BC5" s="219"/>
      <c r="BD5" s="219"/>
      <c r="BE5" s="219"/>
      <c r="BF5" s="220"/>
      <c r="BG5" s="397"/>
      <c r="BH5" s="396"/>
      <c r="BI5" s="396"/>
      <c r="BJ5" s="396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</row>
    <row r="6" spans="2:88" ht="24.75" customHeight="1" thickBot="1">
      <c r="B6" s="53" t="s">
        <v>12</v>
      </c>
      <c r="AA6" s="53">
        <v>2</v>
      </c>
      <c r="AB6" s="197">
        <v>6900</v>
      </c>
      <c r="AC6" s="197">
        <v>7100</v>
      </c>
      <c r="AD6" s="197">
        <v>7300</v>
      </c>
      <c r="AE6" s="197">
        <v>7520</v>
      </c>
      <c r="AF6" s="222">
        <v>6700</v>
      </c>
      <c r="AG6" s="197"/>
      <c r="AH6" s="446"/>
      <c r="AI6" s="431" t="s">
        <v>45</v>
      </c>
      <c r="AJ6" s="411"/>
      <c r="AK6" s="411"/>
      <c r="AL6" s="223"/>
      <c r="AM6" s="223"/>
      <c r="AN6" s="433" t="s">
        <v>46</v>
      </c>
      <c r="AO6" s="433"/>
      <c r="AP6" s="433"/>
      <c r="AQ6" s="433"/>
      <c r="AR6" s="224"/>
      <c r="AS6" s="224"/>
      <c r="AT6" s="224"/>
      <c r="AU6" s="224"/>
      <c r="AV6" s="224"/>
      <c r="AW6" s="224"/>
      <c r="AX6" s="224"/>
      <c r="AY6" s="225"/>
      <c r="AZ6" s="488" t="s">
        <v>283</v>
      </c>
      <c r="BA6" s="207"/>
      <c r="BB6" s="208"/>
      <c r="BC6" s="208"/>
      <c r="BD6" s="208"/>
      <c r="BE6" s="208"/>
      <c r="BF6" s="209"/>
      <c r="BG6" s="393" t="s">
        <v>351</v>
      </c>
      <c r="BH6" s="394"/>
      <c r="BI6" s="394"/>
      <c r="BJ6" s="394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</row>
    <row r="7" spans="2:88" ht="24.75" customHeight="1" thickBot="1">
      <c r="B7" s="53" t="s">
        <v>5</v>
      </c>
      <c r="AA7" s="53">
        <v>3</v>
      </c>
      <c r="AB7" s="197">
        <v>7100</v>
      </c>
      <c r="AC7" s="197">
        <v>7300</v>
      </c>
      <c r="AD7" s="197">
        <v>7520</v>
      </c>
      <c r="AE7" s="197">
        <v>7740</v>
      </c>
      <c r="AF7" s="197">
        <v>6900</v>
      </c>
      <c r="AG7" s="197"/>
      <c r="AH7" s="446"/>
      <c r="AI7" s="431" t="s">
        <v>48</v>
      </c>
      <c r="AJ7" s="411"/>
      <c r="AK7" s="411"/>
      <c r="AL7" s="226"/>
      <c r="AM7" s="411" t="s">
        <v>76</v>
      </c>
      <c r="AN7" s="411"/>
      <c r="AO7" s="411"/>
      <c r="AP7" s="411"/>
      <c r="AQ7" s="226"/>
      <c r="AR7" s="226"/>
      <c r="AS7" s="411" t="s">
        <v>77</v>
      </c>
      <c r="AT7" s="411"/>
      <c r="AU7" s="226"/>
      <c r="AV7" s="480" t="s">
        <v>97</v>
      </c>
      <c r="AW7" s="480"/>
      <c r="AX7" s="413" t="s">
        <v>161</v>
      </c>
      <c r="AY7" s="484"/>
      <c r="AZ7" s="488"/>
      <c r="BA7" s="207"/>
      <c r="BB7" s="208"/>
      <c r="BC7" s="208"/>
      <c r="BD7" s="208"/>
      <c r="BE7" s="208"/>
      <c r="BF7" s="209"/>
      <c r="BG7" s="393"/>
      <c r="BH7" s="394"/>
      <c r="BI7" s="394"/>
      <c r="BJ7" s="394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</row>
    <row r="8" spans="2:88" ht="22.5" customHeight="1" thickBot="1">
      <c r="B8" s="53" t="s">
        <v>0</v>
      </c>
      <c r="AA8" s="53">
        <v>4</v>
      </c>
      <c r="AB8" s="197">
        <v>7300</v>
      </c>
      <c r="AC8" s="197">
        <v>7520</v>
      </c>
      <c r="AD8" s="197">
        <v>7740</v>
      </c>
      <c r="AE8" s="197">
        <v>7960</v>
      </c>
      <c r="AF8" s="197">
        <v>7100</v>
      </c>
      <c r="AG8" s="197"/>
      <c r="AH8" s="446"/>
      <c r="AI8" s="431" t="s">
        <v>98</v>
      </c>
      <c r="AJ8" s="411"/>
      <c r="AK8" s="411"/>
      <c r="AL8" s="411" t="s">
        <v>78</v>
      </c>
      <c r="AM8" s="411"/>
      <c r="AN8" s="411"/>
      <c r="AO8" s="217">
        <v>2000</v>
      </c>
      <c r="AP8" s="411" t="s">
        <v>79</v>
      </c>
      <c r="AQ8" s="411"/>
      <c r="AR8" s="411"/>
      <c r="AS8" s="226"/>
      <c r="AT8" s="227"/>
      <c r="AU8" s="418" t="s">
        <v>86</v>
      </c>
      <c r="AV8" s="419"/>
      <c r="AW8" s="443">
        <v>7000</v>
      </c>
      <c r="AX8" s="443"/>
      <c r="AY8" s="228"/>
      <c r="AZ8" s="488"/>
      <c r="BA8" s="269"/>
      <c r="BB8" s="270"/>
      <c r="BC8" s="270"/>
      <c r="BD8" s="270"/>
      <c r="BE8" s="270"/>
      <c r="BF8" s="271"/>
      <c r="BG8" s="393"/>
      <c r="BH8" s="394"/>
      <c r="BI8" s="394"/>
      <c r="BJ8" s="394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</row>
    <row r="9" spans="2:88" ht="22.5" customHeight="1" thickBot="1">
      <c r="B9" s="53" t="s">
        <v>1</v>
      </c>
      <c r="AA9" s="53">
        <v>5</v>
      </c>
      <c r="AB9" s="197">
        <v>7520</v>
      </c>
      <c r="AC9" s="197">
        <v>7740</v>
      </c>
      <c r="AD9" s="197">
        <v>7960</v>
      </c>
      <c r="AE9" s="197">
        <v>8200</v>
      </c>
      <c r="AF9" s="197">
        <v>7300</v>
      </c>
      <c r="AG9" s="197"/>
      <c r="AH9" s="446"/>
      <c r="AI9" s="389" t="s">
        <v>55</v>
      </c>
      <c r="AJ9" s="390"/>
      <c r="AK9" s="390"/>
      <c r="AL9" s="229">
        <v>450</v>
      </c>
      <c r="AM9" s="411" t="s">
        <v>56</v>
      </c>
      <c r="AN9" s="411"/>
      <c r="AO9" s="411"/>
      <c r="AP9" s="411"/>
      <c r="AQ9" s="411"/>
      <c r="AR9" s="226"/>
      <c r="AS9" s="226"/>
      <c r="AT9" s="412" t="s">
        <v>57</v>
      </c>
      <c r="AU9" s="412"/>
      <c r="AV9" s="412"/>
      <c r="AW9" s="412"/>
      <c r="AX9" s="229">
        <v>600</v>
      </c>
      <c r="AY9" s="225"/>
      <c r="AZ9" s="488"/>
      <c r="BA9" s="269"/>
      <c r="BB9" s="270"/>
      <c r="BC9" s="270"/>
      <c r="BD9" s="270"/>
      <c r="BE9" s="270"/>
      <c r="BF9" s="271"/>
      <c r="BG9" s="393"/>
      <c r="BH9" s="394"/>
      <c r="BI9" s="394"/>
      <c r="BJ9" s="394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</row>
    <row r="10" spans="27:88" ht="22.5" customHeight="1" thickBot="1">
      <c r="AA10" s="199">
        <v>6</v>
      </c>
      <c r="AB10" s="230">
        <v>7740</v>
      </c>
      <c r="AC10" s="230">
        <v>7960</v>
      </c>
      <c r="AD10" s="230">
        <v>8200</v>
      </c>
      <c r="AE10" s="230">
        <v>8440</v>
      </c>
      <c r="AF10" s="230">
        <v>7520</v>
      </c>
      <c r="AG10" s="197"/>
      <c r="AH10" s="446" t="s">
        <v>283</v>
      </c>
      <c r="AI10" s="444" t="s">
        <v>106</v>
      </c>
      <c r="AJ10" s="445"/>
      <c r="AK10" s="415"/>
      <c r="AL10" s="231">
        <v>30</v>
      </c>
      <c r="AM10" s="447" t="s">
        <v>56</v>
      </c>
      <c r="AN10" s="448"/>
      <c r="AO10" s="448"/>
      <c r="AP10" s="448"/>
      <c r="AQ10" s="449"/>
      <c r="AR10" s="226"/>
      <c r="AS10" s="226"/>
      <c r="AT10" s="412" t="s">
        <v>57</v>
      </c>
      <c r="AU10" s="412"/>
      <c r="AV10" s="412"/>
      <c r="AW10" s="412"/>
      <c r="AX10" s="232">
        <v>60</v>
      </c>
      <c r="AY10" s="233"/>
      <c r="AZ10" s="488"/>
      <c r="BA10" s="269"/>
      <c r="BB10" s="270"/>
      <c r="BC10" s="270"/>
      <c r="BD10" s="270"/>
      <c r="BE10" s="270"/>
      <c r="BF10" s="271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</row>
    <row r="11" spans="2:88" ht="22.5" customHeight="1" thickBot="1">
      <c r="B11" s="53" t="s">
        <v>2</v>
      </c>
      <c r="AA11" s="53">
        <v>7</v>
      </c>
      <c r="AB11" s="197">
        <v>7960</v>
      </c>
      <c r="AC11" s="197">
        <v>8200</v>
      </c>
      <c r="AD11" s="197">
        <v>8440</v>
      </c>
      <c r="AE11" s="197">
        <v>8680</v>
      </c>
      <c r="AF11" s="197">
        <v>7740</v>
      </c>
      <c r="AG11" s="197"/>
      <c r="AH11" s="446"/>
      <c r="AI11" s="444" t="s">
        <v>65</v>
      </c>
      <c r="AJ11" s="445"/>
      <c r="AK11" s="415"/>
      <c r="AL11" s="224"/>
      <c r="AM11" s="224"/>
      <c r="AN11" s="224"/>
      <c r="AO11" s="369" t="s">
        <v>151</v>
      </c>
      <c r="AP11" s="217">
        <v>20</v>
      </c>
      <c r="AQ11" s="369" t="s">
        <v>152</v>
      </c>
      <c r="AR11" s="217">
        <v>20</v>
      </c>
      <c r="AS11" s="371" t="s">
        <v>166</v>
      </c>
      <c r="AT11" s="420"/>
      <c r="AU11" s="421"/>
      <c r="AV11" s="422"/>
      <c r="AW11" s="404" t="s">
        <v>299</v>
      </c>
      <c r="AX11" s="405"/>
      <c r="AY11" s="217">
        <v>1000</v>
      </c>
      <c r="AZ11" s="488"/>
      <c r="BA11" s="269"/>
      <c r="BB11" s="270"/>
      <c r="BC11" s="270"/>
      <c r="BD11" s="270"/>
      <c r="BE11" s="270"/>
      <c r="BF11" s="271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</row>
    <row r="12" spans="27:88" ht="22.5" customHeight="1" thickBot="1">
      <c r="AA12" s="199">
        <v>8</v>
      </c>
      <c r="AB12" s="197">
        <v>8200</v>
      </c>
      <c r="AC12" s="197">
        <v>8440</v>
      </c>
      <c r="AD12" s="197">
        <v>8680</v>
      </c>
      <c r="AE12" s="197">
        <v>8940</v>
      </c>
      <c r="AF12" s="197">
        <v>7960</v>
      </c>
      <c r="AG12" s="197"/>
      <c r="AH12" s="446"/>
      <c r="AI12" s="398" t="s">
        <v>297</v>
      </c>
      <c r="AJ12" s="399"/>
      <c r="AK12" s="399"/>
      <c r="AL12" s="399"/>
      <c r="AM12" s="400"/>
      <c r="AN12" s="234">
        <v>0</v>
      </c>
      <c r="AO12" s="423" t="s">
        <v>346</v>
      </c>
      <c r="AP12" s="424"/>
      <c r="AQ12" s="424"/>
      <c r="AR12" s="424"/>
      <c r="AS12" s="425"/>
      <c r="AT12" s="420">
        <v>0</v>
      </c>
      <c r="AU12" s="421"/>
      <c r="AV12" s="422"/>
      <c r="AW12" s="437" t="s">
        <v>99</v>
      </c>
      <c r="AX12" s="438"/>
      <c r="AY12" s="439"/>
      <c r="AZ12" s="235"/>
      <c r="BA12" s="269"/>
      <c r="BB12" s="270"/>
      <c r="BC12" s="270"/>
      <c r="BD12" s="270"/>
      <c r="BE12" s="270"/>
      <c r="BF12" s="271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</row>
    <row r="13" spans="27:88" ht="21" customHeight="1" thickBot="1">
      <c r="AA13" s="53">
        <v>9</v>
      </c>
      <c r="AB13" s="197">
        <v>8440</v>
      </c>
      <c r="AC13" s="197">
        <v>8680</v>
      </c>
      <c r="AD13" s="197">
        <v>8940</v>
      </c>
      <c r="AE13" s="197">
        <v>9200</v>
      </c>
      <c r="AF13" s="197">
        <v>8200</v>
      </c>
      <c r="AG13" s="197"/>
      <c r="AH13" s="446"/>
      <c r="AI13" s="236"/>
      <c r="AJ13" s="224"/>
      <c r="AK13" s="224"/>
      <c r="AL13" s="224"/>
      <c r="AM13" s="224"/>
      <c r="AN13" s="234">
        <v>2500</v>
      </c>
      <c r="AO13" s="373" t="s">
        <v>287</v>
      </c>
      <c r="AP13" s="372"/>
      <c r="AQ13" s="238"/>
      <c r="AR13" s="238"/>
      <c r="AS13" s="239"/>
      <c r="AT13" s="428">
        <v>0</v>
      </c>
      <c r="AU13" s="429"/>
      <c r="AV13" s="430"/>
      <c r="AW13" s="391" t="s">
        <v>406</v>
      </c>
      <c r="AX13" s="392"/>
      <c r="AY13" s="240"/>
      <c r="AZ13" s="241"/>
      <c r="BA13" s="242" t="s">
        <v>294</v>
      </c>
      <c r="BB13" s="208"/>
      <c r="BC13" s="208"/>
      <c r="BD13" s="208"/>
      <c r="BE13" s="208"/>
      <c r="BF13" s="209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</row>
    <row r="14" spans="27:88" ht="25.5" customHeight="1" thickBot="1">
      <c r="AA14" s="199">
        <v>10</v>
      </c>
      <c r="AB14" s="197">
        <v>8680</v>
      </c>
      <c r="AC14" s="197">
        <v>8940</v>
      </c>
      <c r="AD14" s="197">
        <v>9200</v>
      </c>
      <c r="AE14" s="197">
        <v>9460</v>
      </c>
      <c r="AF14" s="197">
        <v>8440</v>
      </c>
      <c r="AG14" s="197"/>
      <c r="AH14" s="446"/>
      <c r="AI14" s="236"/>
      <c r="AJ14" s="224"/>
      <c r="AK14" s="224"/>
      <c r="AL14" s="224"/>
      <c r="AM14" s="224"/>
      <c r="AN14" s="243">
        <v>20000</v>
      </c>
      <c r="AO14" s="374" t="s">
        <v>286</v>
      </c>
      <c r="AP14" s="237"/>
      <c r="AQ14" s="238"/>
      <c r="AR14" s="238"/>
      <c r="AS14" s="239"/>
      <c r="AT14" s="428">
        <v>0</v>
      </c>
      <c r="AU14" s="429"/>
      <c r="AV14" s="430"/>
      <c r="AW14" s="391" t="s">
        <v>407</v>
      </c>
      <c r="AX14" s="392"/>
      <c r="AY14" s="240"/>
      <c r="AZ14" s="488" t="s">
        <v>283</v>
      </c>
      <c r="BA14" s="207"/>
      <c r="BB14" s="244"/>
      <c r="BC14" s="208"/>
      <c r="BD14" s="208"/>
      <c r="BE14" s="208"/>
      <c r="BF14" s="209"/>
      <c r="BG14" s="485" t="s">
        <v>352</v>
      </c>
      <c r="BH14" s="486"/>
      <c r="BI14" s="486"/>
      <c r="BJ14" s="486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</row>
    <row r="15" spans="27:88" ht="25.5" customHeight="1" thickBot="1">
      <c r="AA15" s="53">
        <v>11</v>
      </c>
      <c r="AB15" s="197">
        <v>8940</v>
      </c>
      <c r="AC15" s="197">
        <v>9200</v>
      </c>
      <c r="AD15" s="197">
        <v>9460</v>
      </c>
      <c r="AE15" s="197">
        <v>9740</v>
      </c>
      <c r="AF15" s="197">
        <v>8680</v>
      </c>
      <c r="AG15" s="197"/>
      <c r="AH15" s="446"/>
      <c r="AI15" s="236"/>
      <c r="AJ15" s="224"/>
      <c r="AK15" s="224"/>
      <c r="AL15" s="224"/>
      <c r="AM15" s="224"/>
      <c r="AN15" s="243">
        <v>0</v>
      </c>
      <c r="AO15" s="374" t="s">
        <v>288</v>
      </c>
      <c r="AP15" s="237"/>
      <c r="AQ15" s="238"/>
      <c r="AR15" s="238"/>
      <c r="AS15" s="239"/>
      <c r="AT15" s="428">
        <v>0</v>
      </c>
      <c r="AU15" s="429"/>
      <c r="AV15" s="430"/>
      <c r="AW15" s="391" t="s">
        <v>408</v>
      </c>
      <c r="AX15" s="392"/>
      <c r="AY15" s="240"/>
      <c r="AZ15" s="488"/>
      <c r="BA15" s="207"/>
      <c r="BB15" s="208"/>
      <c r="BC15" s="208"/>
      <c r="BD15" s="208"/>
      <c r="BE15" s="208"/>
      <c r="BF15" s="209"/>
      <c r="BG15" s="485"/>
      <c r="BH15" s="486"/>
      <c r="BI15" s="486"/>
      <c r="BJ15" s="486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</row>
    <row r="16" spans="27:88" ht="25.5" customHeight="1" thickBot="1">
      <c r="AA16" s="199">
        <v>12</v>
      </c>
      <c r="AB16" s="197">
        <v>9200</v>
      </c>
      <c r="AC16" s="197">
        <v>9460</v>
      </c>
      <c r="AD16" s="197">
        <v>9740</v>
      </c>
      <c r="AE16" s="197">
        <v>10020</v>
      </c>
      <c r="AF16" s="197">
        <v>8940</v>
      </c>
      <c r="AG16" s="197"/>
      <c r="AH16" s="446"/>
      <c r="AI16" s="236"/>
      <c r="AJ16" s="224"/>
      <c r="AK16" s="224"/>
      <c r="AL16" s="224"/>
      <c r="AM16" s="224"/>
      <c r="AN16" s="243">
        <v>1200</v>
      </c>
      <c r="AO16" s="373" t="s">
        <v>289</v>
      </c>
      <c r="AP16" s="237"/>
      <c r="AQ16" s="238"/>
      <c r="AR16" s="238"/>
      <c r="AS16" s="239"/>
      <c r="AT16" s="428">
        <v>0</v>
      </c>
      <c r="AU16" s="429"/>
      <c r="AV16" s="430"/>
      <c r="AW16" s="391" t="s">
        <v>409</v>
      </c>
      <c r="AX16" s="392"/>
      <c r="AY16" s="240"/>
      <c r="AZ16" s="488"/>
      <c r="BA16" s="207"/>
      <c r="BB16" s="208"/>
      <c r="BC16" s="208"/>
      <c r="BD16" s="208"/>
      <c r="BE16" s="208"/>
      <c r="BF16" s="209"/>
      <c r="BG16" s="485"/>
      <c r="BH16" s="486"/>
      <c r="BI16" s="486"/>
      <c r="BJ16" s="486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</row>
    <row r="17" spans="27:88" ht="25.5" customHeight="1" thickBot="1">
      <c r="AA17" s="53">
        <v>13</v>
      </c>
      <c r="AB17" s="197">
        <v>9460</v>
      </c>
      <c r="AC17" s="197">
        <v>9740</v>
      </c>
      <c r="AD17" s="197">
        <v>10020</v>
      </c>
      <c r="AE17" s="197">
        <v>10300</v>
      </c>
      <c r="AF17" s="197">
        <v>9200</v>
      </c>
      <c r="AG17" s="197"/>
      <c r="AH17" s="446"/>
      <c r="AI17" s="236"/>
      <c r="AJ17" s="224"/>
      <c r="AK17" s="224"/>
      <c r="AL17" s="224"/>
      <c r="AM17" s="224"/>
      <c r="AN17" s="243">
        <v>0</v>
      </c>
      <c r="AO17" s="374" t="s">
        <v>290</v>
      </c>
      <c r="AP17" s="237"/>
      <c r="AQ17" s="238"/>
      <c r="AR17" s="238"/>
      <c r="AS17" s="239"/>
      <c r="AT17" s="428">
        <v>0</v>
      </c>
      <c r="AU17" s="429"/>
      <c r="AV17" s="430"/>
      <c r="AW17" s="391" t="s">
        <v>410</v>
      </c>
      <c r="AX17" s="392"/>
      <c r="AY17" s="240"/>
      <c r="AZ17" s="488"/>
      <c r="BA17" s="473"/>
      <c r="BB17" s="474"/>
      <c r="BC17" s="474"/>
      <c r="BD17" s="474"/>
      <c r="BE17" s="474"/>
      <c r="BF17" s="475"/>
      <c r="BG17" s="485"/>
      <c r="BH17" s="486"/>
      <c r="BI17" s="486"/>
      <c r="BJ17" s="486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</row>
    <row r="18" spans="27:88" ht="25.5" customHeight="1" thickBot="1">
      <c r="AA18" s="199">
        <v>14</v>
      </c>
      <c r="AB18" s="197">
        <v>9740</v>
      </c>
      <c r="AC18" s="197">
        <v>10020</v>
      </c>
      <c r="AD18" s="197">
        <v>10300</v>
      </c>
      <c r="AE18" s="197">
        <v>10600</v>
      </c>
      <c r="AF18" s="197">
        <v>9460</v>
      </c>
      <c r="AG18" s="197"/>
      <c r="AH18" s="446"/>
      <c r="AI18" s="236"/>
      <c r="AJ18" s="224"/>
      <c r="AK18" s="224"/>
      <c r="AL18" s="224"/>
      <c r="AM18" s="224"/>
      <c r="AN18" s="243">
        <v>0</v>
      </c>
      <c r="AO18" s="423" t="s">
        <v>295</v>
      </c>
      <c r="AP18" s="424"/>
      <c r="AQ18" s="424"/>
      <c r="AR18" s="424"/>
      <c r="AS18" s="425"/>
      <c r="AT18" s="469">
        <v>0</v>
      </c>
      <c r="AU18" s="470"/>
      <c r="AV18" s="471"/>
      <c r="AW18" s="416" t="s">
        <v>411</v>
      </c>
      <c r="AX18" s="417"/>
      <c r="AY18" s="240"/>
      <c r="AZ18" s="202"/>
      <c r="BA18" s="207"/>
      <c r="BB18" s="208"/>
      <c r="BC18" s="208"/>
      <c r="BD18" s="208"/>
      <c r="BE18" s="208"/>
      <c r="BF18" s="209"/>
      <c r="BG18" s="485"/>
      <c r="BH18" s="486"/>
      <c r="BI18" s="486"/>
      <c r="BJ18" s="486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</row>
    <row r="19" spans="27:88" ht="24" customHeight="1" thickBot="1">
      <c r="AA19" s="53">
        <v>15</v>
      </c>
      <c r="AB19" s="197">
        <v>10020</v>
      </c>
      <c r="AC19" s="197">
        <v>10300</v>
      </c>
      <c r="AD19" s="197">
        <v>10600</v>
      </c>
      <c r="AE19" s="197">
        <v>10900</v>
      </c>
      <c r="AF19" s="197">
        <v>9740</v>
      </c>
      <c r="AG19" s="197"/>
      <c r="AH19" s="206"/>
      <c r="AI19" s="236"/>
      <c r="AJ19" s="224"/>
      <c r="AK19" s="224"/>
      <c r="AL19" s="224"/>
      <c r="AM19" s="224"/>
      <c r="AN19" s="268">
        <v>0</v>
      </c>
      <c r="AO19" s="401" t="s">
        <v>296</v>
      </c>
      <c r="AP19" s="402"/>
      <c r="AQ19" s="402"/>
      <c r="AR19" s="402"/>
      <c r="AS19" s="403"/>
      <c r="AT19" s="428">
        <v>0</v>
      </c>
      <c r="AU19" s="429"/>
      <c r="AV19" s="430"/>
      <c r="AW19" s="391" t="s">
        <v>412</v>
      </c>
      <c r="AX19" s="392"/>
      <c r="AY19" s="240"/>
      <c r="AZ19" s="487" t="s">
        <v>283</v>
      </c>
      <c r="BA19" s="207"/>
      <c r="BB19" s="208"/>
      <c r="BC19" s="208"/>
      <c r="BD19" s="245"/>
      <c r="BE19" s="208"/>
      <c r="BF19" s="209"/>
      <c r="BG19" s="485"/>
      <c r="BH19" s="486"/>
      <c r="BI19" s="486"/>
      <c r="BJ19" s="486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</row>
    <row r="20" spans="27:88" ht="25.5" customHeight="1" thickBot="1">
      <c r="AA20" s="199">
        <v>16</v>
      </c>
      <c r="AB20" s="197">
        <v>10300</v>
      </c>
      <c r="AC20" s="197">
        <v>10600</v>
      </c>
      <c r="AD20" s="197">
        <v>10900</v>
      </c>
      <c r="AE20" s="197">
        <v>11200</v>
      </c>
      <c r="AF20" s="197">
        <v>10020</v>
      </c>
      <c r="AG20" s="197"/>
      <c r="AH20" s="206"/>
      <c r="AI20" s="459" t="s">
        <v>373</v>
      </c>
      <c r="AJ20" s="460"/>
      <c r="AK20" s="368" t="s">
        <v>5</v>
      </c>
      <c r="AL20" s="413">
        <v>0</v>
      </c>
      <c r="AM20" s="413"/>
      <c r="AN20" s="368" t="s">
        <v>17</v>
      </c>
      <c r="AO20" s="413">
        <v>0</v>
      </c>
      <c r="AP20" s="413"/>
      <c r="AQ20" s="368" t="s">
        <v>12</v>
      </c>
      <c r="AR20" s="413">
        <v>0</v>
      </c>
      <c r="AS20" s="413"/>
      <c r="AT20" s="414" t="s">
        <v>343</v>
      </c>
      <c r="AU20" s="415"/>
      <c r="AV20" s="420">
        <v>0</v>
      </c>
      <c r="AW20" s="422"/>
      <c r="AX20" s="377" t="s">
        <v>359</v>
      </c>
      <c r="AY20" s="376">
        <v>0</v>
      </c>
      <c r="AZ20" s="487"/>
      <c r="BA20" s="207"/>
      <c r="BB20" s="208"/>
      <c r="BC20" s="208"/>
      <c r="BD20" s="208"/>
      <c r="BE20" s="208"/>
      <c r="BF20" s="209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</row>
    <row r="21" spans="27:88" ht="25.5" customHeight="1" thickBot="1">
      <c r="AA21" s="53">
        <v>17</v>
      </c>
      <c r="AB21" s="197">
        <v>10600</v>
      </c>
      <c r="AC21" s="197">
        <v>10900</v>
      </c>
      <c r="AD21" s="197">
        <v>11200</v>
      </c>
      <c r="AE21" s="197">
        <v>11530</v>
      </c>
      <c r="AF21" s="197">
        <v>10300</v>
      </c>
      <c r="AG21" s="197"/>
      <c r="AH21" s="206"/>
      <c r="AI21" s="426" t="s">
        <v>93</v>
      </c>
      <c r="AJ21" s="427"/>
      <c r="AK21" s="457" t="s">
        <v>95</v>
      </c>
      <c r="AL21" s="457"/>
      <c r="AM21" s="426" t="s">
        <v>94</v>
      </c>
      <c r="AN21" s="427"/>
      <c r="AO21" s="453" t="s">
        <v>355</v>
      </c>
      <c r="AP21" s="453"/>
      <c r="AQ21" s="453"/>
      <c r="AR21" s="453"/>
      <c r="AS21" s="426" t="s">
        <v>96</v>
      </c>
      <c r="AT21" s="427"/>
      <c r="AU21" s="454" t="s">
        <v>356</v>
      </c>
      <c r="AV21" s="454"/>
      <c r="AW21" s="454"/>
      <c r="AX21" s="454"/>
      <c r="AY21" s="455"/>
      <c r="AZ21" s="487"/>
      <c r="BA21" s="207"/>
      <c r="BB21" s="208"/>
      <c r="BC21" s="208"/>
      <c r="BD21" s="208"/>
      <c r="BE21" s="208"/>
      <c r="BF21" s="209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</row>
    <row r="22" spans="27:88" ht="25.5" customHeight="1" thickBot="1">
      <c r="AA22" s="199">
        <v>18</v>
      </c>
      <c r="AB22" s="197">
        <v>10900</v>
      </c>
      <c r="AC22" s="197">
        <v>11200</v>
      </c>
      <c r="AD22" s="197">
        <v>11530</v>
      </c>
      <c r="AE22" s="197">
        <v>11860</v>
      </c>
      <c r="AF22" s="197">
        <v>10600</v>
      </c>
      <c r="AG22" s="197"/>
      <c r="AH22" s="206"/>
      <c r="AI22" s="462" t="s">
        <v>235</v>
      </c>
      <c r="AJ22" s="463"/>
      <c r="AK22" s="464"/>
      <c r="AL22" s="490" t="s">
        <v>357</v>
      </c>
      <c r="AM22" s="491"/>
      <c r="AN22" s="491"/>
      <c r="AO22" s="491"/>
      <c r="AP22" s="492"/>
      <c r="AQ22" s="426" t="s">
        <v>42</v>
      </c>
      <c r="AR22" s="427"/>
      <c r="AS22" s="454" t="s">
        <v>237</v>
      </c>
      <c r="AT22" s="454"/>
      <c r="AU22" s="454"/>
      <c r="AV22" s="454"/>
      <c r="AZ22" s="487"/>
      <c r="BA22" s="207"/>
      <c r="BB22" s="208"/>
      <c r="BC22" s="208"/>
      <c r="BD22" s="246"/>
      <c r="BE22" s="208"/>
      <c r="BF22" s="209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</row>
    <row r="23" spans="27:88" s="54" customFormat="1" ht="15.75" thickBot="1">
      <c r="AA23" s="54">
        <v>19</v>
      </c>
      <c r="AB23" s="195">
        <v>11200</v>
      </c>
      <c r="AC23" s="195">
        <v>11530</v>
      </c>
      <c r="AD23" s="195">
        <v>11860</v>
      </c>
      <c r="AE23" s="195">
        <v>12190</v>
      </c>
      <c r="AF23" s="195">
        <v>10900</v>
      </c>
      <c r="AG23" s="195"/>
      <c r="AH23" s="493" t="s">
        <v>282</v>
      </c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190"/>
      <c r="BB23" s="191"/>
      <c r="BC23" s="191"/>
      <c r="BD23" s="191"/>
      <c r="BE23" s="191"/>
      <c r="BF23" s="192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</row>
    <row r="24" spans="2:88" s="54" customFormat="1" ht="15.75" thickTop="1">
      <c r="B24" s="54" t="s">
        <v>7</v>
      </c>
      <c r="C24" s="54">
        <f>AB3</f>
        <v>18520</v>
      </c>
      <c r="AA24" s="194">
        <v>20</v>
      </c>
      <c r="AB24" s="195">
        <v>11530</v>
      </c>
      <c r="AC24" s="195">
        <v>11860</v>
      </c>
      <c r="AD24" s="195">
        <v>12190</v>
      </c>
      <c r="AE24" s="195">
        <v>12550</v>
      </c>
      <c r="AF24" s="195">
        <v>11200</v>
      </c>
      <c r="AG24" s="195"/>
      <c r="AH24" s="489" t="s">
        <v>284</v>
      </c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</row>
    <row r="25" spans="2:88" s="54" customFormat="1" ht="15">
      <c r="B25" s="54" t="s">
        <v>0</v>
      </c>
      <c r="C25" s="54" t="str">
        <f>C32</f>
        <v>August 2012</v>
      </c>
      <c r="AA25" s="54">
        <v>21</v>
      </c>
      <c r="AB25" s="195">
        <v>11860</v>
      </c>
      <c r="AC25" s="195">
        <v>12190</v>
      </c>
      <c r="AD25" s="195">
        <v>12550</v>
      </c>
      <c r="AE25" s="195">
        <v>12910</v>
      </c>
      <c r="AF25" s="195">
        <v>11530</v>
      </c>
      <c r="AG25" s="195"/>
      <c r="AH25" s="472" t="s">
        <v>342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</row>
    <row r="26" spans="2:88" s="54" customFormat="1" ht="15">
      <c r="B26" s="196" t="s">
        <v>1</v>
      </c>
      <c r="C26" s="196">
        <f>E31</f>
        <v>17</v>
      </c>
      <c r="D26" s="196" t="str">
        <f>F31</f>
        <v>April 2012</v>
      </c>
      <c r="AA26" s="194">
        <v>22</v>
      </c>
      <c r="AB26" s="195">
        <v>12190</v>
      </c>
      <c r="AC26" s="195">
        <v>12550</v>
      </c>
      <c r="AD26" s="195">
        <v>12910</v>
      </c>
      <c r="AE26" s="195">
        <v>13270</v>
      </c>
      <c r="AF26" s="195">
        <v>11860</v>
      </c>
      <c r="AG26" s="195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</row>
    <row r="27" spans="2:88" ht="15">
      <c r="B27" s="199" t="s">
        <v>2</v>
      </c>
      <c r="C27" s="199">
        <f>I31</f>
      </c>
      <c r="D27" s="199">
        <f>J31</f>
      </c>
      <c r="E27" s="199">
        <f>K31</f>
      </c>
      <c r="AA27" s="53">
        <v>23</v>
      </c>
      <c r="AB27" s="197">
        <v>12550</v>
      </c>
      <c r="AC27" s="197">
        <v>12910</v>
      </c>
      <c r="AD27" s="197">
        <v>13270</v>
      </c>
      <c r="AE27" s="197">
        <v>13660</v>
      </c>
      <c r="AF27" s="197">
        <v>12190</v>
      </c>
      <c r="AG27" s="197"/>
      <c r="AH27" s="193"/>
      <c r="AI27" s="193" t="s">
        <v>348</v>
      </c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</row>
    <row r="28" spans="27:88" ht="15">
      <c r="AA28" s="199">
        <v>24</v>
      </c>
      <c r="AB28" s="197">
        <v>12910</v>
      </c>
      <c r="AC28" s="197">
        <v>13270</v>
      </c>
      <c r="AD28" s="197">
        <v>13660</v>
      </c>
      <c r="AE28" s="197">
        <v>14050</v>
      </c>
      <c r="AF28" s="197">
        <v>12550</v>
      </c>
      <c r="AG28" s="197"/>
      <c r="AH28" s="193"/>
      <c r="AI28" s="193" t="s">
        <v>375</v>
      </c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</row>
    <row r="29" spans="27:81" ht="15">
      <c r="AA29" s="53">
        <v>25</v>
      </c>
      <c r="AB29" s="197">
        <v>13270</v>
      </c>
      <c r="AC29" s="197">
        <v>13660</v>
      </c>
      <c r="AD29" s="197">
        <v>14050</v>
      </c>
      <c r="AE29" s="197">
        <v>14440</v>
      </c>
      <c r="AF29" s="197">
        <v>12910</v>
      </c>
      <c r="AG29" s="197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</row>
    <row r="30" spans="2:81" ht="15">
      <c r="B30" s="461" t="s">
        <v>0</v>
      </c>
      <c r="C30" s="461"/>
      <c r="D30" s="456" t="s">
        <v>1</v>
      </c>
      <c r="E30" s="456"/>
      <c r="F30" s="456"/>
      <c r="G30" s="456"/>
      <c r="H30" s="458" t="s">
        <v>2</v>
      </c>
      <c r="I30" s="458"/>
      <c r="J30" s="458"/>
      <c r="K30" s="458"/>
      <c r="AA30" s="199">
        <v>26</v>
      </c>
      <c r="AB30" s="197">
        <v>13660</v>
      </c>
      <c r="AC30" s="197">
        <v>14050</v>
      </c>
      <c r="AD30" s="197">
        <v>14440</v>
      </c>
      <c r="AE30" s="197">
        <v>14860</v>
      </c>
      <c r="AF30" s="197">
        <v>13270</v>
      </c>
      <c r="AG30" s="197"/>
      <c r="AH30" s="193"/>
      <c r="AI30" s="378"/>
      <c r="AJ30" s="193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</row>
    <row r="31" spans="2:81" ht="15">
      <c r="B31" s="435"/>
      <c r="C31" s="435"/>
      <c r="D31" s="247" t="str">
        <f>VLOOKUP(D32,B33:D34,3,0)</f>
        <v>Yes</v>
      </c>
      <c r="E31" s="247">
        <f>IF(ISERROR(VLOOKUP(E32,E33:E63,1,0)),"",VLOOKUP(E32,E33:E63,1,0))</f>
        <v>17</v>
      </c>
      <c r="F31" s="247" t="str">
        <f>IF(ISERROR(VLOOKUP(F32,E33:F44,2,0)),"",VLOOKUP(F32,E33:F44,2,0))</f>
        <v>April 2012</v>
      </c>
      <c r="G31" s="247"/>
      <c r="H31" s="247"/>
      <c r="I31" s="247">
        <f>IF(ISERROR(VLOOKUP(I32,I33:I63,1,0)),"",VLOOKUP(I32,I33:I63,1,0))</f>
      </c>
      <c r="J31" s="247">
        <f>IF(ISERROR(VLOOKUP(J32,I33:J44,2,0)),"",VLOOKUP(J32,I33:J44,2,0))</f>
      </c>
      <c r="K31" s="247">
        <f>IF(ISERROR(VLOOKUP(K32,I33:K34,3,0)),"",VLOOKUP(K32,I33:K34,3,0))</f>
      </c>
      <c r="L31" s="247"/>
      <c r="M31" s="247"/>
      <c r="P31" s="53" t="s">
        <v>8</v>
      </c>
      <c r="Q31" s="53">
        <f>C24</f>
        <v>18520</v>
      </c>
      <c r="R31" s="53">
        <v>1</v>
      </c>
      <c r="S31" s="53">
        <f>Q31</f>
        <v>18520</v>
      </c>
      <c r="AA31" s="53">
        <v>27</v>
      </c>
      <c r="AB31" s="197">
        <v>14050</v>
      </c>
      <c r="AC31" s="197">
        <v>14440</v>
      </c>
      <c r="AD31" s="197">
        <v>14860</v>
      </c>
      <c r="AE31" s="197">
        <v>15280</v>
      </c>
      <c r="AF31" s="197">
        <v>13660</v>
      </c>
      <c r="AG31" s="197"/>
      <c r="AH31" s="198"/>
      <c r="AI31" s="198"/>
      <c r="AJ31" s="198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</row>
    <row r="32" spans="2:81" ht="15">
      <c r="B32" s="199">
        <v>6</v>
      </c>
      <c r="C32" s="199" t="str">
        <f>VLOOKUP(B32,B33:C44,2,0)</f>
        <v>August 2012</v>
      </c>
      <c r="D32" s="199">
        <v>2</v>
      </c>
      <c r="E32" s="199">
        <v>17</v>
      </c>
      <c r="F32" s="199">
        <v>2</v>
      </c>
      <c r="G32" s="199"/>
      <c r="H32" s="199">
        <v>1</v>
      </c>
      <c r="I32" s="199">
        <v>3</v>
      </c>
      <c r="J32" s="199">
        <v>5</v>
      </c>
      <c r="K32" s="199">
        <v>2</v>
      </c>
      <c r="L32" s="199"/>
      <c r="M32" s="199"/>
      <c r="P32" s="53" t="s">
        <v>0</v>
      </c>
      <c r="Q32" s="53">
        <f>B32</f>
        <v>6</v>
      </c>
      <c r="R32" s="53">
        <f>SMALL(Q32:Q34,1)</f>
        <v>3</v>
      </c>
      <c r="S32" s="53">
        <f>IF(AND(R32=R33,R32=R34),VLOOKUP(Q31,AB5:AE80,4,0),IF(AND(R32=R33,R33&lt;&gt;R34),VLOOKUP(Q31,AB5:AE80,3,0),VLOOKUP(Q31,AB5:AE80,2,0)))</f>
        <v>19050</v>
      </c>
      <c r="AA32" s="199">
        <v>28</v>
      </c>
      <c r="AB32" s="197">
        <v>14440</v>
      </c>
      <c r="AC32" s="197">
        <v>14860</v>
      </c>
      <c r="AD32" s="197">
        <v>15280</v>
      </c>
      <c r="AE32" s="197">
        <v>15700</v>
      </c>
      <c r="AF32" s="197">
        <v>14050</v>
      </c>
      <c r="AG32" s="197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</row>
    <row r="33" spans="2:81" ht="15">
      <c r="B33" s="53">
        <v>1</v>
      </c>
      <c r="C33" s="248" t="str">
        <f>"March"&amp;" 2012"</f>
        <v>March 2012</v>
      </c>
      <c r="D33" s="53" t="s">
        <v>3</v>
      </c>
      <c r="E33" s="53">
        <f>IF($D$32=1,"",B33)</f>
        <v>1</v>
      </c>
      <c r="F33" s="248" t="str">
        <f>IF($D$32=1,"",C33)</f>
        <v>March 2012</v>
      </c>
      <c r="I33" s="53">
        <f>IF($H$32=2,B33,"")</f>
      </c>
      <c r="J33" s="248">
        <f>IF($H$32=2,C33,"")</f>
      </c>
      <c r="K33" s="53">
        <f>IF($H$32=2,"Promotion","")</f>
      </c>
      <c r="P33" s="53" t="s">
        <v>1</v>
      </c>
      <c r="Q33" s="53">
        <f>IF(AND(E31&lt;&gt;"",E31&gt;1),F32+1,IF(E31="","",F32))</f>
        <v>3</v>
      </c>
      <c r="R33" s="53">
        <f>IF(ISERROR(SMALL(Q32:Q34,2)),"",SMALL(Q32:Q34,2))</f>
        <v>6</v>
      </c>
      <c r="S33" s="53">
        <f>IF(AND(R32&lt;R33,R33&lt;R34),VLOOKUP(S32,AB5:AE80,2,0),IF(R33="",S32,IF(AND(R32&lt;R33,R33=R34),VLOOKUP(S32,AB5:AE80,3,0),IF(AND(R32=R33=R34),S32,S32))))</f>
        <v>19580</v>
      </c>
      <c r="AA33" s="53">
        <v>29</v>
      </c>
      <c r="AB33" s="197">
        <v>14860</v>
      </c>
      <c r="AC33" s="197">
        <v>15280</v>
      </c>
      <c r="AD33" s="197">
        <v>15700</v>
      </c>
      <c r="AE33" s="197">
        <v>16150</v>
      </c>
      <c r="AF33" s="197">
        <v>14440</v>
      </c>
      <c r="AG33" s="197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</row>
    <row r="34" spans="2:81" ht="15">
      <c r="B34" s="53">
        <v>2</v>
      </c>
      <c r="C34" s="248" t="str">
        <f>"April"&amp;" 2012"</f>
        <v>April 2012</v>
      </c>
      <c r="D34" s="53" t="s">
        <v>4</v>
      </c>
      <c r="E34" s="53">
        <f aca="true" t="shared" si="0" ref="E34:E63">IF($D$32=1,"",B34)</f>
        <v>2</v>
      </c>
      <c r="F34" s="248" t="str">
        <f aca="true" t="shared" si="1" ref="F34:F44">IF($D$32=1,"",C34)</f>
        <v>April 2012</v>
      </c>
      <c r="I34" s="53">
        <f aca="true" t="shared" si="2" ref="I34:I63">IF($H$32=2,B34,"")</f>
      </c>
      <c r="J34" s="248">
        <f aca="true" t="shared" si="3" ref="J34:J44">IF($H$32=2,C34,"")</f>
      </c>
      <c r="K34" s="53">
        <f>IF($H$32=2,"Increment","")</f>
      </c>
      <c r="P34" s="53" t="s">
        <v>9</v>
      </c>
      <c r="Q34" s="53">
        <f>IF(AND(I31&lt;&gt;"",I31&gt;1),J32+1,IF(I31="","",J32))</f>
      </c>
      <c r="R34" s="53">
        <f>IF(ISERROR(SMALL(Q32:Q34,3)),"",SMALL(Q32:Q34,3))</f>
      </c>
      <c r="S34" s="53">
        <f>IF(AND(R32=R33=R34),S32,IF(AND(R32&lt;R33&lt;R34),VLOOKUP(S33,AB5:AE80,2,0),IF(R34="",S33,IF(AND(R32=R33,R33&lt;R34),VLOOKUP(S33,AB5:AE80,2,0),VLOOKUP(S33,AB5:AE80,2,0)))))</f>
        <v>19580</v>
      </c>
      <c r="AA34" s="199">
        <v>30</v>
      </c>
      <c r="AB34" s="197">
        <v>15280</v>
      </c>
      <c r="AC34" s="197">
        <v>15700</v>
      </c>
      <c r="AD34" s="197">
        <v>16150</v>
      </c>
      <c r="AE34" s="197">
        <v>16600</v>
      </c>
      <c r="AF34" s="197">
        <v>14860</v>
      </c>
      <c r="AG34" s="197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</row>
    <row r="35" spans="2:81" ht="15">
      <c r="B35" s="53">
        <v>3</v>
      </c>
      <c r="C35" s="248" t="str">
        <f>"May"&amp;" 2012"</f>
        <v>May 2012</v>
      </c>
      <c r="E35" s="53">
        <f t="shared" si="0"/>
        <v>3</v>
      </c>
      <c r="F35" s="248" t="str">
        <f t="shared" si="1"/>
        <v>May 2012</v>
      </c>
      <c r="I35" s="53">
        <f t="shared" si="2"/>
      </c>
      <c r="J35" s="248">
        <f t="shared" si="3"/>
      </c>
      <c r="P35" s="53" t="s">
        <v>13</v>
      </c>
      <c r="Q35" s="53" t="s">
        <v>18</v>
      </c>
      <c r="R35" s="53" t="s">
        <v>19</v>
      </c>
      <c r="S35" s="53" t="s">
        <v>103</v>
      </c>
      <c r="T35" s="53" t="s">
        <v>105</v>
      </c>
      <c r="U35" s="53" t="s">
        <v>108</v>
      </c>
      <c r="AA35" s="53">
        <v>31</v>
      </c>
      <c r="AB35" s="197">
        <v>15700</v>
      </c>
      <c r="AC35" s="197">
        <v>16150</v>
      </c>
      <c r="AD35" s="197">
        <v>16600</v>
      </c>
      <c r="AE35" s="197">
        <v>17050</v>
      </c>
      <c r="AF35" s="197">
        <v>15280</v>
      </c>
      <c r="AG35" s="197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</row>
    <row r="36" spans="2:81" ht="15">
      <c r="B36" s="53">
        <v>4</v>
      </c>
      <c r="C36" s="248" t="str">
        <f>"June"&amp;" 2012"</f>
        <v>June 2012</v>
      </c>
      <c r="E36" s="53">
        <f t="shared" si="0"/>
        <v>4</v>
      </c>
      <c r="F36" s="248" t="str">
        <f t="shared" si="1"/>
        <v>June 2012</v>
      </c>
      <c r="I36" s="53">
        <f t="shared" si="2"/>
      </c>
      <c r="J36" s="248">
        <f t="shared" si="3"/>
      </c>
      <c r="N36" s="248" t="str">
        <f>J108</f>
        <v>March 2012</v>
      </c>
      <c r="O36" s="53">
        <v>1</v>
      </c>
      <c r="P36" s="53">
        <f>LOOKUP(O36,$R$31:$R$34,$S$31:$S$34)</f>
        <v>18520</v>
      </c>
      <c r="Q36" s="53">
        <f>IF(IF($I$73-1=0,$F$73,IF(AND($I$73-1&gt;=1,$I$73-1&lt;=O36),$H$73,$F$73))=12,10,IF($I$73-1=0,$F$73,IF(IF(AND($I$73-1&gt;=1,$I$73-1&lt;=O36),$H$73,$F$73)=14.5,12,IF(IF(AND($I$73-1&gt;=1,$I$73-1&lt;=O36),$H$73,$F$73)=20,20,30))))</f>
        <v>14.5</v>
      </c>
      <c r="R36" s="53">
        <v>35.952</v>
      </c>
      <c r="S36" s="53">
        <f>IF($S$73-1=0,$AO$8,IF($S$73-1&gt;=O36+1,$AO$8,$AW$8))</f>
        <v>2000</v>
      </c>
      <c r="T36" s="53">
        <f aca="true" t="shared" si="4" ref="T36:T47">IF($U$73-1=0,$AL$9,IF($U$73-1&gt;=O36+1,$AL$9,$AX$9))</f>
        <v>450</v>
      </c>
      <c r="U36" s="53">
        <f>IF($W$73-1=0,$P$62,IF($W$73-1&gt;=O36+1,$P$62,$R$62))</f>
        <v>30</v>
      </c>
      <c r="AA36" s="199">
        <v>32</v>
      </c>
      <c r="AB36" s="197">
        <v>16150</v>
      </c>
      <c r="AC36" s="197">
        <v>16600</v>
      </c>
      <c r="AD36" s="197">
        <v>17050</v>
      </c>
      <c r="AE36" s="197">
        <v>17540</v>
      </c>
      <c r="AF36" s="197">
        <v>15700</v>
      </c>
      <c r="AG36" s="197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</row>
    <row r="37" spans="2:81" ht="15">
      <c r="B37" s="53">
        <v>5</v>
      </c>
      <c r="C37" s="248" t="str">
        <f>"July"&amp;" 2012"</f>
        <v>July 2012</v>
      </c>
      <c r="E37" s="53">
        <f t="shared" si="0"/>
        <v>5</v>
      </c>
      <c r="F37" s="248" t="str">
        <f t="shared" si="1"/>
        <v>July 2012</v>
      </c>
      <c r="I37" s="53">
        <f t="shared" si="2"/>
      </c>
      <c r="J37" s="248">
        <f t="shared" si="3"/>
      </c>
      <c r="N37" s="248" t="str">
        <f aca="true" t="shared" si="5" ref="N37:N47">J109</f>
        <v>April 2012</v>
      </c>
      <c r="O37" s="53">
        <v>2</v>
      </c>
      <c r="P37" s="53">
        <f aca="true" t="shared" si="6" ref="P37:P47">LOOKUP(O37,$R$31:$R$34,$S$31:$S$34)</f>
        <v>18520</v>
      </c>
      <c r="Q37" s="53">
        <f aca="true" t="shared" si="7" ref="Q37:Q47">IF($I$73-1=0,$F$73,IF(AND($I$73-1&gt;=1,$I$73-1&lt;=O37),$H$73,$F$73))</f>
        <v>14.5</v>
      </c>
      <c r="R37" s="53">
        <v>35.952</v>
      </c>
      <c r="S37" s="53">
        <f aca="true" t="shared" si="8" ref="S37:S47">IF($S$73-1=0,$AO$8,IF($S$73-1&gt;=O37+1,$AO$8,$AW$8))</f>
        <v>2000</v>
      </c>
      <c r="T37" s="53">
        <f t="shared" si="4"/>
        <v>450</v>
      </c>
      <c r="U37" s="53">
        <f aca="true" t="shared" si="9" ref="U37:U47">IF($W$73-1=0,$P$62,IF($W$73-1&gt;=O37+1,$P$62,$R$62))</f>
        <v>30</v>
      </c>
      <c r="AA37" s="53">
        <v>33</v>
      </c>
      <c r="AB37" s="197">
        <v>16600</v>
      </c>
      <c r="AC37" s="197">
        <v>17050</v>
      </c>
      <c r="AD37" s="197">
        <v>17540</v>
      </c>
      <c r="AE37" s="197">
        <v>18030</v>
      </c>
      <c r="AF37" s="197">
        <v>16150</v>
      </c>
      <c r="AG37" s="197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</row>
    <row r="38" spans="2:81" ht="15">
      <c r="B38" s="53">
        <v>6</v>
      </c>
      <c r="C38" s="248" t="str">
        <f>"August"&amp;" 2012"</f>
        <v>August 2012</v>
      </c>
      <c r="E38" s="53">
        <f t="shared" si="0"/>
        <v>6</v>
      </c>
      <c r="F38" s="248" t="str">
        <f t="shared" si="1"/>
        <v>August 2012</v>
      </c>
      <c r="I38" s="53">
        <f t="shared" si="2"/>
      </c>
      <c r="J38" s="248">
        <f t="shared" si="3"/>
      </c>
      <c r="N38" s="248" t="str">
        <f t="shared" si="5"/>
        <v>May 2012</v>
      </c>
      <c r="O38" s="53">
        <v>3</v>
      </c>
      <c r="P38" s="53">
        <f t="shared" si="6"/>
        <v>19050</v>
      </c>
      <c r="Q38" s="53">
        <f t="shared" si="7"/>
        <v>14.5</v>
      </c>
      <c r="R38" s="53">
        <v>41.944</v>
      </c>
      <c r="S38" s="53">
        <f t="shared" si="8"/>
        <v>2000</v>
      </c>
      <c r="T38" s="53">
        <f t="shared" si="4"/>
        <v>450</v>
      </c>
      <c r="U38" s="53">
        <f t="shared" si="9"/>
        <v>30</v>
      </c>
      <c r="AA38" s="199">
        <v>34</v>
      </c>
      <c r="AB38" s="197">
        <v>17050</v>
      </c>
      <c r="AC38" s="197">
        <v>17540</v>
      </c>
      <c r="AD38" s="197">
        <v>18030</v>
      </c>
      <c r="AE38" s="197">
        <v>18520</v>
      </c>
      <c r="AF38" s="197">
        <v>16600</v>
      </c>
      <c r="AG38" s="197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</row>
    <row r="39" spans="2:81" ht="15">
      <c r="B39" s="53">
        <v>7</v>
      </c>
      <c r="C39" s="248" t="str">
        <f>"September"&amp;" 2012"</f>
        <v>September 2012</v>
      </c>
      <c r="E39" s="53">
        <f t="shared" si="0"/>
        <v>7</v>
      </c>
      <c r="F39" s="248" t="str">
        <f t="shared" si="1"/>
        <v>September 2012</v>
      </c>
      <c r="I39" s="53">
        <f t="shared" si="2"/>
      </c>
      <c r="J39" s="248">
        <f t="shared" si="3"/>
      </c>
      <c r="N39" s="248" t="str">
        <f t="shared" si="5"/>
        <v>June 2012</v>
      </c>
      <c r="O39" s="53">
        <v>4</v>
      </c>
      <c r="P39" s="53">
        <f t="shared" si="6"/>
        <v>19050</v>
      </c>
      <c r="Q39" s="53">
        <f t="shared" si="7"/>
        <v>14.5</v>
      </c>
      <c r="R39" s="53">
        <v>41.944</v>
      </c>
      <c r="S39" s="53">
        <f t="shared" si="8"/>
        <v>2000</v>
      </c>
      <c r="T39" s="53">
        <f t="shared" si="4"/>
        <v>450</v>
      </c>
      <c r="U39" s="53">
        <f t="shared" si="9"/>
        <v>30</v>
      </c>
      <c r="AA39" s="53">
        <v>35</v>
      </c>
      <c r="AB39" s="197">
        <v>17540</v>
      </c>
      <c r="AC39" s="197">
        <v>18030</v>
      </c>
      <c r="AD39" s="197">
        <v>18520</v>
      </c>
      <c r="AE39" s="197">
        <v>19050</v>
      </c>
      <c r="AF39" s="197">
        <v>17050</v>
      </c>
      <c r="AG39" s="197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</row>
    <row r="40" spans="2:81" ht="15">
      <c r="B40" s="53">
        <v>8</v>
      </c>
      <c r="C40" s="248" t="str">
        <f>"October"&amp;" 2012"</f>
        <v>October 2012</v>
      </c>
      <c r="E40" s="53">
        <f t="shared" si="0"/>
        <v>8</v>
      </c>
      <c r="F40" s="248" t="str">
        <f t="shared" si="1"/>
        <v>October 2012</v>
      </c>
      <c r="I40" s="53">
        <f t="shared" si="2"/>
      </c>
      <c r="J40" s="248">
        <f t="shared" si="3"/>
      </c>
      <c r="N40" s="248" t="str">
        <f t="shared" si="5"/>
        <v>July 2012</v>
      </c>
      <c r="O40" s="53">
        <v>5</v>
      </c>
      <c r="P40" s="53">
        <f t="shared" si="6"/>
        <v>19050</v>
      </c>
      <c r="Q40" s="53">
        <f t="shared" si="7"/>
        <v>14.5</v>
      </c>
      <c r="R40" s="53">
        <v>41.944</v>
      </c>
      <c r="S40" s="53">
        <f t="shared" si="8"/>
        <v>2000</v>
      </c>
      <c r="T40" s="53">
        <f t="shared" si="4"/>
        <v>450</v>
      </c>
      <c r="U40" s="53">
        <f t="shared" si="9"/>
        <v>30</v>
      </c>
      <c r="AA40" s="199">
        <v>36</v>
      </c>
      <c r="AB40" s="197">
        <v>18030</v>
      </c>
      <c r="AC40" s="197">
        <v>18520</v>
      </c>
      <c r="AD40" s="197">
        <v>19050</v>
      </c>
      <c r="AE40" s="197">
        <v>19580</v>
      </c>
      <c r="AF40" s="197">
        <v>17540</v>
      </c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</row>
    <row r="41" spans="2:81" ht="15">
      <c r="B41" s="53">
        <v>9</v>
      </c>
      <c r="C41" s="248" t="str">
        <f>"November"&amp;" 2012"</f>
        <v>November 2012</v>
      </c>
      <c r="E41" s="53">
        <f t="shared" si="0"/>
        <v>9</v>
      </c>
      <c r="F41" s="248" t="str">
        <f t="shared" si="1"/>
        <v>November 2012</v>
      </c>
      <c r="I41" s="53">
        <f t="shared" si="2"/>
      </c>
      <c r="J41" s="248">
        <f t="shared" si="3"/>
      </c>
      <c r="N41" s="248" t="str">
        <f t="shared" si="5"/>
        <v>August 2012</v>
      </c>
      <c r="O41" s="53">
        <v>6</v>
      </c>
      <c r="P41" s="53">
        <f t="shared" si="6"/>
        <v>19580</v>
      </c>
      <c r="Q41" s="53">
        <f t="shared" si="7"/>
        <v>14.5</v>
      </c>
      <c r="R41" s="53">
        <v>41.944</v>
      </c>
      <c r="S41" s="53">
        <f t="shared" si="8"/>
        <v>2000</v>
      </c>
      <c r="T41" s="53">
        <f t="shared" si="4"/>
        <v>450</v>
      </c>
      <c r="U41" s="53">
        <f t="shared" si="9"/>
        <v>30</v>
      </c>
      <c r="AA41" s="53">
        <v>37</v>
      </c>
      <c r="AB41" s="197">
        <v>18520</v>
      </c>
      <c r="AC41" s="197">
        <v>19050</v>
      </c>
      <c r="AD41" s="197">
        <v>19580</v>
      </c>
      <c r="AE41" s="197">
        <v>20110</v>
      </c>
      <c r="AF41" s="197">
        <v>18030</v>
      </c>
      <c r="AG41" s="197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</row>
    <row r="42" spans="2:81" ht="15">
      <c r="B42" s="53">
        <v>10</v>
      </c>
      <c r="C42" s="248" t="str">
        <f>"December"&amp;" 2012"</f>
        <v>December 2012</v>
      </c>
      <c r="E42" s="53">
        <f t="shared" si="0"/>
        <v>10</v>
      </c>
      <c r="F42" s="248" t="str">
        <f t="shared" si="1"/>
        <v>December 2012</v>
      </c>
      <c r="I42" s="53">
        <f t="shared" si="2"/>
      </c>
      <c r="J42" s="248">
        <f t="shared" si="3"/>
      </c>
      <c r="N42" s="248" t="str">
        <f t="shared" si="5"/>
        <v>September 2012</v>
      </c>
      <c r="O42" s="53">
        <v>7</v>
      </c>
      <c r="P42" s="53">
        <f t="shared" si="6"/>
        <v>19580</v>
      </c>
      <c r="Q42" s="53">
        <f t="shared" si="7"/>
        <v>14.5</v>
      </c>
      <c r="R42" s="53">
        <v>41.944</v>
      </c>
      <c r="S42" s="53">
        <f t="shared" si="8"/>
        <v>2000</v>
      </c>
      <c r="T42" s="53">
        <f t="shared" si="4"/>
        <v>450</v>
      </c>
      <c r="U42" s="53">
        <f t="shared" si="9"/>
        <v>30</v>
      </c>
      <c r="AA42" s="199">
        <v>38</v>
      </c>
      <c r="AB42" s="197">
        <v>19050</v>
      </c>
      <c r="AC42" s="197">
        <v>19580</v>
      </c>
      <c r="AD42" s="197">
        <v>20110</v>
      </c>
      <c r="AE42" s="197">
        <v>20680</v>
      </c>
      <c r="AF42" s="197">
        <v>18520</v>
      </c>
      <c r="AG42" s="197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</row>
    <row r="43" spans="2:81" ht="15">
      <c r="B43" s="53">
        <v>11</v>
      </c>
      <c r="C43" s="248" t="str">
        <f>"January"&amp;" 2013"</f>
        <v>January 2013</v>
      </c>
      <c r="E43" s="53">
        <f t="shared" si="0"/>
        <v>11</v>
      </c>
      <c r="F43" s="248" t="str">
        <f t="shared" si="1"/>
        <v>January 2013</v>
      </c>
      <c r="I43" s="53">
        <f t="shared" si="2"/>
      </c>
      <c r="J43" s="248">
        <f t="shared" si="3"/>
      </c>
      <c r="N43" s="248" t="str">
        <f t="shared" si="5"/>
        <v>October 2012</v>
      </c>
      <c r="O43" s="53">
        <v>8</v>
      </c>
      <c r="P43" s="53">
        <f t="shared" si="6"/>
        <v>19580</v>
      </c>
      <c r="Q43" s="53">
        <f t="shared" si="7"/>
        <v>14.5</v>
      </c>
      <c r="R43" s="53">
        <v>41.944</v>
      </c>
      <c r="S43" s="53">
        <f t="shared" si="8"/>
        <v>2000</v>
      </c>
      <c r="T43" s="53">
        <f t="shared" si="4"/>
        <v>450</v>
      </c>
      <c r="U43" s="53">
        <f t="shared" si="9"/>
        <v>30</v>
      </c>
      <c r="AA43" s="53">
        <v>39</v>
      </c>
      <c r="AB43" s="197">
        <v>19580</v>
      </c>
      <c r="AC43" s="197">
        <v>20110</v>
      </c>
      <c r="AD43" s="197">
        <v>20680</v>
      </c>
      <c r="AE43" s="197">
        <v>21250</v>
      </c>
      <c r="AF43" s="197">
        <v>19050</v>
      </c>
      <c r="AG43" s="197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</row>
    <row r="44" spans="2:33" ht="15">
      <c r="B44" s="53">
        <v>12</v>
      </c>
      <c r="C44" s="248" t="str">
        <f>"February"&amp;" 2013"</f>
        <v>February 2013</v>
      </c>
      <c r="E44" s="53">
        <f t="shared" si="0"/>
        <v>12</v>
      </c>
      <c r="F44" s="248" t="str">
        <f t="shared" si="1"/>
        <v>February 2013</v>
      </c>
      <c r="I44" s="53">
        <f t="shared" si="2"/>
      </c>
      <c r="J44" s="248">
        <f t="shared" si="3"/>
      </c>
      <c r="N44" s="248" t="str">
        <f t="shared" si="5"/>
        <v>November 2012</v>
      </c>
      <c r="O44" s="53">
        <v>9</v>
      </c>
      <c r="P44" s="53">
        <f t="shared" si="6"/>
        <v>19580</v>
      </c>
      <c r="Q44" s="53">
        <f t="shared" si="7"/>
        <v>14.5</v>
      </c>
      <c r="R44" s="53">
        <v>47.936</v>
      </c>
      <c r="S44" s="53">
        <f t="shared" si="8"/>
        <v>2000</v>
      </c>
      <c r="T44" s="53">
        <f t="shared" si="4"/>
        <v>450</v>
      </c>
      <c r="U44" s="53">
        <f t="shared" si="9"/>
        <v>30</v>
      </c>
      <c r="AA44" s="199">
        <v>40</v>
      </c>
      <c r="AB44" s="197">
        <v>20110</v>
      </c>
      <c r="AC44" s="197">
        <v>20680</v>
      </c>
      <c r="AD44" s="197">
        <v>21250</v>
      </c>
      <c r="AE44" s="197">
        <v>21820</v>
      </c>
      <c r="AF44" s="197">
        <v>19580</v>
      </c>
      <c r="AG44" s="197"/>
    </row>
    <row r="45" spans="2:33" ht="15">
      <c r="B45" s="53">
        <v>13</v>
      </c>
      <c r="E45" s="53">
        <f t="shared" si="0"/>
        <v>13</v>
      </c>
      <c r="I45" s="53">
        <f t="shared" si="2"/>
      </c>
      <c r="N45" s="248" t="str">
        <f t="shared" si="5"/>
        <v>December 2012</v>
      </c>
      <c r="O45" s="53">
        <v>10</v>
      </c>
      <c r="P45" s="53">
        <f t="shared" si="6"/>
        <v>19580</v>
      </c>
      <c r="Q45" s="53">
        <f t="shared" si="7"/>
        <v>14.5</v>
      </c>
      <c r="R45" s="53">
        <v>47.936</v>
      </c>
      <c r="S45" s="53">
        <f t="shared" si="8"/>
        <v>2000</v>
      </c>
      <c r="T45" s="53">
        <f t="shared" si="4"/>
        <v>450</v>
      </c>
      <c r="U45" s="53">
        <f t="shared" si="9"/>
        <v>30</v>
      </c>
      <c r="AA45" s="53">
        <v>41</v>
      </c>
      <c r="AB45" s="197">
        <v>20680</v>
      </c>
      <c r="AC45" s="197">
        <v>21250</v>
      </c>
      <c r="AD45" s="197">
        <v>21820</v>
      </c>
      <c r="AE45" s="197">
        <v>22430</v>
      </c>
      <c r="AF45" s="197">
        <v>20110</v>
      </c>
      <c r="AG45" s="197"/>
    </row>
    <row r="46" spans="2:33" ht="15">
      <c r="B46" s="53">
        <v>14</v>
      </c>
      <c r="E46" s="53">
        <f t="shared" si="0"/>
        <v>14</v>
      </c>
      <c r="I46" s="53">
        <f t="shared" si="2"/>
      </c>
      <c r="N46" s="248" t="str">
        <f t="shared" si="5"/>
        <v>January 2013</v>
      </c>
      <c r="O46" s="53">
        <v>11</v>
      </c>
      <c r="P46" s="53">
        <f>LOOKUP(O46,$R$31:$R$34,$S$31:$S$34)</f>
        <v>19580</v>
      </c>
      <c r="Q46" s="53">
        <f t="shared" si="7"/>
        <v>14.5</v>
      </c>
      <c r="R46" s="53">
        <v>47.936</v>
      </c>
      <c r="S46" s="53">
        <f t="shared" si="8"/>
        <v>2000</v>
      </c>
      <c r="T46" s="53">
        <f t="shared" si="4"/>
        <v>450</v>
      </c>
      <c r="U46" s="53">
        <f t="shared" si="9"/>
        <v>30</v>
      </c>
      <c r="AA46" s="199">
        <v>42</v>
      </c>
      <c r="AB46" s="197">
        <v>21250</v>
      </c>
      <c r="AC46" s="197">
        <v>21820</v>
      </c>
      <c r="AD46" s="197">
        <v>22430</v>
      </c>
      <c r="AE46" s="197">
        <v>23040</v>
      </c>
      <c r="AF46" s="197">
        <v>20680</v>
      </c>
      <c r="AG46" s="197"/>
    </row>
    <row r="47" spans="2:33" ht="15">
      <c r="B47" s="53">
        <v>15</v>
      </c>
      <c r="E47" s="53">
        <f t="shared" si="0"/>
        <v>15</v>
      </c>
      <c r="I47" s="53">
        <f t="shared" si="2"/>
      </c>
      <c r="N47" s="248" t="str">
        <f t="shared" si="5"/>
        <v>February 2013</v>
      </c>
      <c r="O47" s="53">
        <v>12</v>
      </c>
      <c r="P47" s="53">
        <f t="shared" si="6"/>
        <v>19580</v>
      </c>
      <c r="Q47" s="53">
        <f t="shared" si="7"/>
        <v>14.5</v>
      </c>
      <c r="R47" s="53">
        <v>47.936</v>
      </c>
      <c r="S47" s="53">
        <f t="shared" si="8"/>
        <v>2000</v>
      </c>
      <c r="T47" s="53">
        <f t="shared" si="4"/>
        <v>450</v>
      </c>
      <c r="U47" s="53">
        <f t="shared" si="9"/>
        <v>30</v>
      </c>
      <c r="AA47" s="53">
        <v>43</v>
      </c>
      <c r="AB47" s="197">
        <v>21820</v>
      </c>
      <c r="AC47" s="197">
        <v>22430</v>
      </c>
      <c r="AD47" s="197">
        <v>23040</v>
      </c>
      <c r="AE47" s="197">
        <v>23650</v>
      </c>
      <c r="AF47" s="197">
        <v>21250</v>
      </c>
      <c r="AG47" s="197"/>
    </row>
    <row r="48" spans="2:33" ht="15">
      <c r="B48" s="53">
        <v>16</v>
      </c>
      <c r="E48" s="53">
        <f t="shared" si="0"/>
        <v>16</v>
      </c>
      <c r="I48" s="53">
        <f t="shared" si="2"/>
      </c>
      <c r="AA48" s="199">
        <v>44</v>
      </c>
      <c r="AB48" s="197">
        <v>22430</v>
      </c>
      <c r="AC48" s="197">
        <v>23040</v>
      </c>
      <c r="AD48" s="197">
        <v>23650</v>
      </c>
      <c r="AE48" s="197">
        <v>24300</v>
      </c>
      <c r="AF48" s="197">
        <v>21820</v>
      </c>
      <c r="AG48" s="197"/>
    </row>
    <row r="49" spans="2:33" ht="15">
      <c r="B49" s="53">
        <v>17</v>
      </c>
      <c r="E49" s="53">
        <f t="shared" si="0"/>
        <v>17</v>
      </c>
      <c r="I49" s="53">
        <f t="shared" si="2"/>
      </c>
      <c r="AA49" s="53">
        <v>45</v>
      </c>
      <c r="AB49" s="197">
        <v>23040</v>
      </c>
      <c r="AC49" s="197">
        <v>23650</v>
      </c>
      <c r="AD49" s="197">
        <v>24300</v>
      </c>
      <c r="AE49" s="197">
        <v>24950</v>
      </c>
      <c r="AF49" s="197">
        <v>22430</v>
      </c>
      <c r="AG49" s="197"/>
    </row>
    <row r="50" spans="2:33" ht="15">
      <c r="B50" s="53">
        <v>18</v>
      </c>
      <c r="E50" s="53">
        <f t="shared" si="0"/>
        <v>18</v>
      </c>
      <c r="I50" s="53">
        <f t="shared" si="2"/>
      </c>
      <c r="Q50" s="53">
        <f>IF(F73=12,12,IF(F73=14.5,14.5,IF(F73=20,20,30)))</f>
        <v>14.5</v>
      </c>
      <c r="AA50" s="199">
        <v>46</v>
      </c>
      <c r="AB50" s="197">
        <v>23650</v>
      </c>
      <c r="AC50" s="197">
        <v>24300</v>
      </c>
      <c r="AD50" s="197">
        <v>24950</v>
      </c>
      <c r="AE50" s="197">
        <v>25600</v>
      </c>
      <c r="AF50" s="197">
        <v>23040</v>
      </c>
      <c r="AG50" s="197"/>
    </row>
    <row r="51" spans="2:33" ht="15">
      <c r="B51" s="53">
        <v>19</v>
      </c>
      <c r="E51" s="53">
        <f t="shared" si="0"/>
        <v>19</v>
      </c>
      <c r="I51" s="53">
        <v>2</v>
      </c>
      <c r="J51" s="53" t="str">
        <f>VLOOKUP(I51,I52:J53,2,0)</f>
        <v>Non-Vacation Dept</v>
      </c>
      <c r="AA51" s="53">
        <v>47</v>
      </c>
      <c r="AB51" s="197">
        <v>24300</v>
      </c>
      <c r="AC51" s="197">
        <v>24950</v>
      </c>
      <c r="AD51" s="197">
        <v>25600</v>
      </c>
      <c r="AE51" s="197">
        <v>26300</v>
      </c>
      <c r="AF51" s="197">
        <v>23650</v>
      </c>
      <c r="AG51" s="197"/>
    </row>
    <row r="52" spans="2:33" ht="15">
      <c r="B52" s="53">
        <v>20</v>
      </c>
      <c r="E52" s="53">
        <f t="shared" si="0"/>
        <v>20</v>
      </c>
      <c r="I52" s="53">
        <v>1</v>
      </c>
      <c r="J52" s="53" t="s">
        <v>167</v>
      </c>
      <c r="U52" s="53" t="s">
        <v>104</v>
      </c>
      <c r="AA52" s="199">
        <v>48</v>
      </c>
      <c r="AB52" s="197">
        <v>24950</v>
      </c>
      <c r="AC52" s="197">
        <v>25600</v>
      </c>
      <c r="AD52" s="197">
        <v>26300</v>
      </c>
      <c r="AE52" s="197">
        <v>27000</v>
      </c>
      <c r="AF52" s="197">
        <v>24300</v>
      </c>
      <c r="AG52" s="197"/>
    </row>
    <row r="53" spans="2:33" ht="15">
      <c r="B53" s="53">
        <v>21</v>
      </c>
      <c r="E53" s="53">
        <f t="shared" si="0"/>
        <v>21</v>
      </c>
      <c r="I53" s="53">
        <v>2</v>
      </c>
      <c r="J53" s="53" t="s">
        <v>168</v>
      </c>
      <c r="AA53" s="53">
        <v>49</v>
      </c>
      <c r="AB53" s="197">
        <v>25600</v>
      </c>
      <c r="AC53" s="197">
        <v>26300</v>
      </c>
      <c r="AD53" s="197">
        <v>27000</v>
      </c>
      <c r="AE53" s="197">
        <v>27700</v>
      </c>
      <c r="AF53" s="197">
        <v>24950</v>
      </c>
      <c r="AG53" s="197"/>
    </row>
    <row r="54" spans="2:33" ht="15">
      <c r="B54" s="53">
        <v>22</v>
      </c>
      <c r="E54" s="53">
        <f t="shared" si="0"/>
        <v>22</v>
      </c>
      <c r="I54" s="53">
        <f t="shared" si="2"/>
      </c>
      <c r="AA54" s="199">
        <v>50</v>
      </c>
      <c r="AB54" s="197">
        <v>26300</v>
      </c>
      <c r="AC54" s="197">
        <v>27000</v>
      </c>
      <c r="AD54" s="197">
        <v>27700</v>
      </c>
      <c r="AE54" s="197">
        <v>28450</v>
      </c>
      <c r="AF54" s="197">
        <v>25600</v>
      </c>
      <c r="AG54" s="197"/>
    </row>
    <row r="55" spans="2:33" ht="15">
      <c r="B55" s="53">
        <v>23</v>
      </c>
      <c r="E55" s="53">
        <f t="shared" si="0"/>
        <v>23</v>
      </c>
      <c r="I55" s="53">
        <f t="shared" si="2"/>
      </c>
      <c r="AA55" s="53">
        <v>51</v>
      </c>
      <c r="AB55" s="197">
        <v>27000</v>
      </c>
      <c r="AC55" s="197">
        <v>27700</v>
      </c>
      <c r="AD55" s="197">
        <v>28450</v>
      </c>
      <c r="AE55" s="197">
        <v>29200</v>
      </c>
      <c r="AF55" s="197">
        <v>26300</v>
      </c>
      <c r="AG55" s="197"/>
    </row>
    <row r="56" spans="2:33" ht="15">
      <c r="B56" s="53">
        <v>24</v>
      </c>
      <c r="E56" s="53">
        <f t="shared" si="0"/>
        <v>24</v>
      </c>
      <c r="I56" s="53">
        <f t="shared" si="2"/>
      </c>
      <c r="AA56" s="199">
        <v>52</v>
      </c>
      <c r="AB56" s="197">
        <v>27700</v>
      </c>
      <c r="AC56" s="197">
        <v>28450</v>
      </c>
      <c r="AD56" s="197">
        <v>29200</v>
      </c>
      <c r="AE56" s="197">
        <v>29950</v>
      </c>
      <c r="AF56" s="197">
        <v>27000</v>
      </c>
      <c r="AG56" s="197"/>
    </row>
    <row r="57" spans="2:33" ht="15">
      <c r="B57" s="53">
        <v>25</v>
      </c>
      <c r="E57" s="53">
        <f t="shared" si="0"/>
        <v>25</v>
      </c>
      <c r="I57" s="53">
        <f t="shared" si="2"/>
      </c>
      <c r="AA57" s="53">
        <v>53</v>
      </c>
      <c r="AB57" s="197">
        <v>28450</v>
      </c>
      <c r="AC57" s="197">
        <v>29200</v>
      </c>
      <c r="AD57" s="197">
        <v>29950</v>
      </c>
      <c r="AE57" s="197">
        <v>30750</v>
      </c>
      <c r="AF57" s="197">
        <v>27700</v>
      </c>
      <c r="AG57" s="197"/>
    </row>
    <row r="58" spans="2:33" ht="15">
      <c r="B58" s="53">
        <v>26</v>
      </c>
      <c r="E58" s="53">
        <f t="shared" si="0"/>
        <v>26</v>
      </c>
      <c r="I58" s="53">
        <f t="shared" si="2"/>
      </c>
      <c r="AA58" s="199">
        <v>54</v>
      </c>
      <c r="AB58" s="197">
        <v>29200</v>
      </c>
      <c r="AC58" s="197">
        <v>29950</v>
      </c>
      <c r="AD58" s="197">
        <v>30750</v>
      </c>
      <c r="AE58" s="197">
        <v>31550</v>
      </c>
      <c r="AF58" s="197">
        <v>28450</v>
      </c>
      <c r="AG58" s="197"/>
    </row>
    <row r="59" spans="2:33" ht="15">
      <c r="B59" s="53">
        <v>27</v>
      </c>
      <c r="E59" s="53">
        <f t="shared" si="0"/>
        <v>27</v>
      </c>
      <c r="I59" s="53">
        <f t="shared" si="2"/>
      </c>
      <c r="AA59" s="53">
        <v>55</v>
      </c>
      <c r="AB59" s="197">
        <v>29950</v>
      </c>
      <c r="AC59" s="197">
        <v>30750</v>
      </c>
      <c r="AD59" s="197">
        <v>31550</v>
      </c>
      <c r="AE59" s="197">
        <v>32350</v>
      </c>
      <c r="AF59" s="197">
        <v>29200</v>
      </c>
      <c r="AG59" s="197"/>
    </row>
    <row r="60" spans="2:33" ht="15">
      <c r="B60" s="53">
        <v>28</v>
      </c>
      <c r="E60" s="53">
        <f t="shared" si="0"/>
        <v>28</v>
      </c>
      <c r="I60" s="53">
        <f t="shared" si="2"/>
      </c>
      <c r="AA60" s="199">
        <v>56</v>
      </c>
      <c r="AB60" s="197">
        <v>30750</v>
      </c>
      <c r="AC60" s="197">
        <v>31550</v>
      </c>
      <c r="AD60" s="197">
        <v>32350</v>
      </c>
      <c r="AE60" s="197">
        <v>33200</v>
      </c>
      <c r="AF60" s="197">
        <v>29950</v>
      </c>
      <c r="AG60" s="197"/>
    </row>
    <row r="61" spans="2:33" ht="15">
      <c r="B61" s="53">
        <v>29</v>
      </c>
      <c r="E61" s="53">
        <f t="shared" si="0"/>
        <v>29</v>
      </c>
      <c r="I61" s="53">
        <f t="shared" si="2"/>
      </c>
      <c r="O61" s="53" t="s">
        <v>109</v>
      </c>
      <c r="Q61" s="53" t="s">
        <v>110</v>
      </c>
      <c r="AA61" s="53">
        <v>57</v>
      </c>
      <c r="AB61" s="197">
        <v>31550</v>
      </c>
      <c r="AC61" s="197">
        <v>32350</v>
      </c>
      <c r="AD61" s="197">
        <v>33200</v>
      </c>
      <c r="AE61" s="197">
        <v>34050</v>
      </c>
      <c r="AF61" s="197">
        <v>30750</v>
      </c>
      <c r="AG61" s="197"/>
    </row>
    <row r="62" spans="2:33" ht="15">
      <c r="B62" s="53">
        <v>30</v>
      </c>
      <c r="E62" s="53">
        <f t="shared" si="0"/>
        <v>30</v>
      </c>
      <c r="I62" s="53">
        <f t="shared" si="2"/>
      </c>
      <c r="N62" s="249" t="s">
        <v>108</v>
      </c>
      <c r="O62" s="53">
        <v>2</v>
      </c>
      <c r="P62" s="53">
        <f>VLOOKUP(O62,M63:N66,2,0)</f>
        <v>30</v>
      </c>
      <c r="Q62" s="53">
        <v>3</v>
      </c>
      <c r="R62" s="53">
        <f>VLOOKUP(Q62,M63:N66,2,0)</f>
        <v>60</v>
      </c>
      <c r="AA62" s="199">
        <v>58</v>
      </c>
      <c r="AB62" s="197">
        <v>32350</v>
      </c>
      <c r="AC62" s="197">
        <v>33200</v>
      </c>
      <c r="AD62" s="197">
        <v>34050</v>
      </c>
      <c r="AE62" s="197">
        <v>34900</v>
      </c>
      <c r="AF62" s="197">
        <v>31550</v>
      </c>
      <c r="AG62" s="197"/>
    </row>
    <row r="63" spans="2:33" ht="15">
      <c r="B63" s="53">
        <v>31</v>
      </c>
      <c r="E63" s="53">
        <f t="shared" si="0"/>
        <v>31</v>
      </c>
      <c r="I63" s="53">
        <f t="shared" si="2"/>
      </c>
      <c r="M63" s="53">
        <v>1</v>
      </c>
      <c r="N63" s="53">
        <v>15</v>
      </c>
      <c r="AA63" s="53">
        <v>59</v>
      </c>
      <c r="AB63" s="197">
        <v>33200</v>
      </c>
      <c r="AC63" s="197">
        <v>34050</v>
      </c>
      <c r="AD63" s="197">
        <v>34900</v>
      </c>
      <c r="AE63" s="197">
        <v>35800</v>
      </c>
      <c r="AF63" s="197">
        <v>32350</v>
      </c>
      <c r="AG63" s="197"/>
    </row>
    <row r="64" spans="13:33" ht="15">
      <c r="M64" s="53">
        <v>2</v>
      </c>
      <c r="N64" s="53">
        <v>30</v>
      </c>
      <c r="AA64" s="199">
        <v>60</v>
      </c>
      <c r="AB64" s="197">
        <v>34050</v>
      </c>
      <c r="AC64" s="197">
        <v>34900</v>
      </c>
      <c r="AD64" s="197">
        <v>35800</v>
      </c>
      <c r="AE64" s="197">
        <v>36700</v>
      </c>
      <c r="AF64" s="197">
        <v>33200</v>
      </c>
      <c r="AG64" s="197"/>
    </row>
    <row r="65" spans="13:33" ht="15">
      <c r="M65" s="53">
        <v>3</v>
      </c>
      <c r="N65" s="53">
        <v>60</v>
      </c>
      <c r="AA65" s="53">
        <v>61</v>
      </c>
      <c r="AB65" s="197">
        <v>34900</v>
      </c>
      <c r="AC65" s="197">
        <v>35800</v>
      </c>
      <c r="AD65" s="197">
        <v>36700</v>
      </c>
      <c r="AE65" s="197">
        <v>37600</v>
      </c>
      <c r="AF65" s="197">
        <v>34050</v>
      </c>
      <c r="AG65" s="197"/>
    </row>
    <row r="66" spans="13:33" ht="15">
      <c r="M66" s="53">
        <v>4</v>
      </c>
      <c r="N66" s="53">
        <v>120</v>
      </c>
      <c r="AA66" s="199">
        <v>62</v>
      </c>
      <c r="AB66" s="197">
        <v>35800</v>
      </c>
      <c r="AC66" s="197">
        <v>36700</v>
      </c>
      <c r="AD66" s="197">
        <v>37600</v>
      </c>
      <c r="AE66" s="197">
        <v>38570</v>
      </c>
      <c r="AF66" s="197">
        <v>34900</v>
      </c>
      <c r="AG66" s="197"/>
    </row>
    <row r="67" spans="27:33" ht="15">
      <c r="AA67" s="53">
        <v>63</v>
      </c>
      <c r="AB67" s="197">
        <v>36700</v>
      </c>
      <c r="AC67" s="197">
        <v>37600</v>
      </c>
      <c r="AD67" s="197">
        <v>38570</v>
      </c>
      <c r="AE67" s="197">
        <v>39540</v>
      </c>
      <c r="AF67" s="197">
        <v>35800</v>
      </c>
      <c r="AG67" s="197"/>
    </row>
    <row r="68" spans="27:33" ht="15">
      <c r="AA68" s="199">
        <v>64</v>
      </c>
      <c r="AB68" s="197">
        <v>37600</v>
      </c>
      <c r="AC68" s="197">
        <v>38570</v>
      </c>
      <c r="AD68" s="197">
        <v>39540</v>
      </c>
      <c r="AE68" s="197">
        <v>40510</v>
      </c>
      <c r="AF68" s="197">
        <v>36700</v>
      </c>
      <c r="AG68" s="197"/>
    </row>
    <row r="69" spans="27:33" ht="15">
      <c r="AA69" s="53">
        <v>65</v>
      </c>
      <c r="AB69" s="197">
        <v>38570</v>
      </c>
      <c r="AC69" s="197">
        <v>39540</v>
      </c>
      <c r="AD69" s="197">
        <v>40510</v>
      </c>
      <c r="AE69" s="197">
        <v>41550</v>
      </c>
      <c r="AF69" s="197">
        <v>37600</v>
      </c>
      <c r="AG69" s="197"/>
    </row>
    <row r="70" spans="6:33" ht="15">
      <c r="F70" s="250">
        <f>IF(F73=12,12,IF(F73=14.5,14.5,IF(F73=20,20,30)))</f>
        <v>14.5</v>
      </c>
      <c r="AA70" s="199">
        <v>66</v>
      </c>
      <c r="AB70" s="197">
        <v>39540</v>
      </c>
      <c r="AC70" s="197">
        <v>40510</v>
      </c>
      <c r="AD70" s="197">
        <v>41550</v>
      </c>
      <c r="AE70" s="197">
        <v>42590</v>
      </c>
      <c r="AF70" s="197">
        <v>38570</v>
      </c>
      <c r="AG70" s="197"/>
    </row>
    <row r="71" spans="27:33" ht="15">
      <c r="AA71" s="53">
        <v>67</v>
      </c>
      <c r="AB71" s="197">
        <v>40510</v>
      </c>
      <c r="AC71" s="197">
        <v>41550</v>
      </c>
      <c r="AD71" s="197">
        <v>42590</v>
      </c>
      <c r="AE71" s="197">
        <v>43630</v>
      </c>
      <c r="AF71" s="197">
        <v>39540</v>
      </c>
      <c r="AG71" s="197"/>
    </row>
    <row r="72" spans="5:33" ht="15">
      <c r="E72" s="199"/>
      <c r="F72" s="199" t="s">
        <v>14</v>
      </c>
      <c r="G72" s="199" t="s">
        <v>15</v>
      </c>
      <c r="H72" s="199"/>
      <c r="I72" s="251" t="s">
        <v>11</v>
      </c>
      <c r="J72" s="251"/>
      <c r="O72" s="435" t="s">
        <v>27</v>
      </c>
      <c r="P72" s="435"/>
      <c r="Q72" s="53" t="s">
        <v>51</v>
      </c>
      <c r="S72" s="53" t="s">
        <v>80</v>
      </c>
      <c r="U72" s="53" t="s">
        <v>58</v>
      </c>
      <c r="W72" s="53" t="s">
        <v>107</v>
      </c>
      <c r="AA72" s="199">
        <v>68</v>
      </c>
      <c r="AB72" s="197">
        <v>41550</v>
      </c>
      <c r="AC72" s="197">
        <v>42590</v>
      </c>
      <c r="AD72" s="197">
        <v>43630</v>
      </c>
      <c r="AE72" s="197">
        <v>44740</v>
      </c>
      <c r="AF72" s="197">
        <v>40510</v>
      </c>
      <c r="AG72" s="197"/>
    </row>
    <row r="73" spans="5:33" ht="15">
      <c r="E73" s="252">
        <v>2</v>
      </c>
      <c r="F73" s="252">
        <f>VLOOKUP(E73,B75:F78,5,0)</f>
        <v>14.5</v>
      </c>
      <c r="G73" s="251">
        <v>2</v>
      </c>
      <c r="H73" s="251">
        <f>VLOOKUP(G73,B75:F78,5,0)</f>
        <v>14.5</v>
      </c>
      <c r="I73" s="253">
        <v>1</v>
      </c>
      <c r="J73" s="253" t="str">
        <f>VLOOKUP(I73-1,I74:J86,2,0)</f>
        <v>No Change</v>
      </c>
      <c r="L73" s="53">
        <f>VLOOKUP(G73,B75:F78,5,0)</f>
        <v>14.5</v>
      </c>
      <c r="M73" s="199">
        <v>2</v>
      </c>
      <c r="N73" s="199" t="str">
        <f>VLOOKUP(M73,M74:N75,2,0)</f>
        <v>Female</v>
      </c>
      <c r="O73" s="199">
        <v>2</v>
      </c>
      <c r="P73" s="199" t="str">
        <f>VLOOKUP(O73,M74:O75,3,0)</f>
        <v>NO</v>
      </c>
      <c r="Q73" s="247">
        <v>3</v>
      </c>
      <c r="R73" s="247" t="str">
        <f>VLOOKUP(Q73,M74:Q76,5,0)</f>
        <v>CPS</v>
      </c>
      <c r="S73" s="247">
        <v>1</v>
      </c>
      <c r="T73" s="247" t="str">
        <f>VLOOKUP(S73-1,S74:T85,2,0)</f>
        <v>No Change</v>
      </c>
      <c r="U73" s="254">
        <v>1</v>
      </c>
      <c r="V73" s="254" t="str">
        <f>VLOOKUP(U73-1,S74:T86,2,0)</f>
        <v>No Change</v>
      </c>
      <c r="W73" s="199">
        <v>1</v>
      </c>
      <c r="X73" s="199" t="str">
        <f>VLOOKUP(W73-1,S74:T86,2,0)</f>
        <v>No Change</v>
      </c>
      <c r="AA73" s="53">
        <v>69</v>
      </c>
      <c r="AB73" s="197">
        <v>42590</v>
      </c>
      <c r="AC73" s="197">
        <v>43630</v>
      </c>
      <c r="AD73" s="197">
        <v>44740</v>
      </c>
      <c r="AE73" s="197">
        <v>45850</v>
      </c>
      <c r="AF73" s="197">
        <v>41550</v>
      </c>
      <c r="AG73" s="197"/>
    </row>
    <row r="74" spans="2:33" ht="15">
      <c r="B74" s="53" t="s">
        <v>10</v>
      </c>
      <c r="C74" s="53" t="s">
        <v>11</v>
      </c>
      <c r="D74" s="53" t="s">
        <v>7</v>
      </c>
      <c r="F74" s="255" t="s">
        <v>12</v>
      </c>
      <c r="I74" s="53">
        <v>0</v>
      </c>
      <c r="J74" s="53" t="s">
        <v>16</v>
      </c>
      <c r="M74" s="53">
        <v>1</v>
      </c>
      <c r="N74" s="53" t="s">
        <v>38</v>
      </c>
      <c r="O74" s="53" t="s">
        <v>49</v>
      </c>
      <c r="Q74" s="53" t="s">
        <v>52</v>
      </c>
      <c r="S74" s="53">
        <v>0</v>
      </c>
      <c r="T74" s="53" t="s">
        <v>16</v>
      </c>
      <c r="AA74" s="199">
        <v>70</v>
      </c>
      <c r="AB74" s="197">
        <v>43630</v>
      </c>
      <c r="AC74" s="197">
        <v>44740</v>
      </c>
      <c r="AD74" s="197">
        <v>45850</v>
      </c>
      <c r="AE74" s="197">
        <v>46960</v>
      </c>
      <c r="AF74" s="197">
        <v>42590</v>
      </c>
      <c r="AG74" s="197"/>
    </row>
    <row r="75" spans="2:33" ht="15">
      <c r="B75" s="53">
        <v>1</v>
      </c>
      <c r="C75" s="256">
        <v>40969</v>
      </c>
      <c r="F75" s="53">
        <v>12</v>
      </c>
      <c r="I75" s="53">
        <v>1</v>
      </c>
      <c r="J75" s="248" t="str">
        <f>"March"&amp;" 2012"</f>
        <v>March 2012</v>
      </c>
      <c r="M75" s="53">
        <v>2</v>
      </c>
      <c r="N75" s="53" t="s">
        <v>39</v>
      </c>
      <c r="O75" s="53" t="s">
        <v>50</v>
      </c>
      <c r="Q75" s="53" t="s">
        <v>53</v>
      </c>
      <c r="S75" s="53">
        <v>1</v>
      </c>
      <c r="T75" s="248" t="str">
        <f>"March"&amp;" 2012"</f>
        <v>March 2012</v>
      </c>
      <c r="AA75" s="53">
        <v>71</v>
      </c>
      <c r="AB75" s="197">
        <v>44740</v>
      </c>
      <c r="AC75" s="197">
        <v>45850</v>
      </c>
      <c r="AD75" s="197">
        <v>46960</v>
      </c>
      <c r="AE75" s="197">
        <v>48160</v>
      </c>
      <c r="AF75" s="197">
        <v>43630</v>
      </c>
      <c r="AG75" s="197"/>
    </row>
    <row r="76" spans="2:33" ht="15">
      <c r="B76" s="53">
        <v>2</v>
      </c>
      <c r="C76" s="256">
        <v>41000</v>
      </c>
      <c r="F76" s="53">
        <v>14.5</v>
      </c>
      <c r="I76" s="53">
        <v>2</v>
      </c>
      <c r="J76" s="248" t="str">
        <f>"April"&amp;" 2012"</f>
        <v>April 2012</v>
      </c>
      <c r="M76" s="53">
        <v>3</v>
      </c>
      <c r="Q76" s="53" t="s">
        <v>54</v>
      </c>
      <c r="S76" s="53">
        <v>2</v>
      </c>
      <c r="T76" s="248" t="str">
        <f>"April"&amp;" 2012"</f>
        <v>April 2012</v>
      </c>
      <c r="AA76" s="199">
        <v>72</v>
      </c>
      <c r="AB76" s="197">
        <v>45850</v>
      </c>
      <c r="AC76" s="197">
        <v>46960</v>
      </c>
      <c r="AD76" s="197">
        <v>48160</v>
      </c>
      <c r="AE76" s="197">
        <v>49360</v>
      </c>
      <c r="AF76" s="197">
        <v>44740</v>
      </c>
      <c r="AG76" s="197"/>
    </row>
    <row r="77" spans="2:33" ht="15">
      <c r="B77" s="53">
        <v>3</v>
      </c>
      <c r="C77" s="256">
        <v>41030</v>
      </c>
      <c r="F77" s="53">
        <v>20</v>
      </c>
      <c r="I77" s="53">
        <v>3</v>
      </c>
      <c r="J77" s="248" t="str">
        <f>"May"&amp;" 2012"</f>
        <v>May 2012</v>
      </c>
      <c r="S77" s="53">
        <v>3</v>
      </c>
      <c r="T77" s="248" t="str">
        <f>"May"&amp;" 2012"</f>
        <v>May 2012</v>
      </c>
      <c r="AA77" s="53">
        <v>73</v>
      </c>
      <c r="AB77" s="197">
        <v>46960</v>
      </c>
      <c r="AC77" s="197">
        <v>48160</v>
      </c>
      <c r="AD77" s="197">
        <v>49360</v>
      </c>
      <c r="AE77" s="197">
        <v>50560</v>
      </c>
      <c r="AF77" s="197">
        <v>45850</v>
      </c>
      <c r="AG77" s="197"/>
    </row>
    <row r="78" spans="2:33" ht="15">
      <c r="B78" s="53">
        <v>4</v>
      </c>
      <c r="C78" s="256">
        <v>41061</v>
      </c>
      <c r="F78" s="53">
        <v>30</v>
      </c>
      <c r="I78" s="53">
        <v>4</v>
      </c>
      <c r="J78" s="248" t="str">
        <f>"June"&amp;" 2012"</f>
        <v>June 2012</v>
      </c>
      <c r="S78" s="53">
        <v>4</v>
      </c>
      <c r="T78" s="248" t="str">
        <f>"June"&amp;" 2012"</f>
        <v>June 2012</v>
      </c>
      <c r="AA78" s="199">
        <v>74</v>
      </c>
      <c r="AB78" s="197">
        <v>48160</v>
      </c>
      <c r="AC78" s="197">
        <v>49360</v>
      </c>
      <c r="AD78" s="197">
        <v>50560</v>
      </c>
      <c r="AE78" s="197">
        <v>51760</v>
      </c>
      <c r="AF78" s="197">
        <v>46960</v>
      </c>
      <c r="AG78" s="197"/>
    </row>
    <row r="79" spans="2:33" ht="15">
      <c r="B79" s="53">
        <v>5</v>
      </c>
      <c r="C79" s="256">
        <v>41091</v>
      </c>
      <c r="I79" s="53">
        <v>5</v>
      </c>
      <c r="J79" s="248" t="str">
        <f>"July"&amp;" 2012"</f>
        <v>July 2012</v>
      </c>
      <c r="S79" s="53">
        <v>5</v>
      </c>
      <c r="T79" s="248" t="str">
        <f>"July"&amp;" 2012"</f>
        <v>July 2012</v>
      </c>
      <c r="AA79" s="53">
        <v>75</v>
      </c>
      <c r="AB79" s="197">
        <v>49360</v>
      </c>
      <c r="AC79" s="197">
        <v>50560</v>
      </c>
      <c r="AD79" s="197">
        <v>51760</v>
      </c>
      <c r="AE79" s="197">
        <v>53060</v>
      </c>
      <c r="AF79" s="197">
        <v>48160</v>
      </c>
      <c r="AG79" s="197"/>
    </row>
    <row r="80" spans="2:33" ht="15">
      <c r="B80" s="53">
        <v>6</v>
      </c>
      <c r="C80" s="256">
        <v>41122</v>
      </c>
      <c r="I80" s="53">
        <v>6</v>
      </c>
      <c r="J80" s="248" t="str">
        <f>"August"&amp;" 2012"</f>
        <v>August 2012</v>
      </c>
      <c r="S80" s="53">
        <v>6</v>
      </c>
      <c r="T80" s="248" t="str">
        <f>"August"&amp;" 2012"</f>
        <v>August 2012</v>
      </c>
      <c r="AA80" s="199">
        <v>76</v>
      </c>
      <c r="AB80" s="197">
        <v>50560</v>
      </c>
      <c r="AC80" s="197">
        <v>51760</v>
      </c>
      <c r="AD80" s="197">
        <v>53060</v>
      </c>
      <c r="AE80" s="197">
        <v>54360</v>
      </c>
      <c r="AF80" s="197">
        <v>49360</v>
      </c>
      <c r="AG80" s="197"/>
    </row>
    <row r="81" spans="2:33" ht="15">
      <c r="B81" s="53">
        <v>7</v>
      </c>
      <c r="C81" s="256">
        <v>41153</v>
      </c>
      <c r="I81" s="53">
        <v>7</v>
      </c>
      <c r="J81" s="248" t="str">
        <f>"September"&amp;" 2012"</f>
        <v>September 2012</v>
      </c>
      <c r="S81" s="53">
        <v>7</v>
      </c>
      <c r="T81" s="248" t="str">
        <f>"September"&amp;" 2012"</f>
        <v>September 2012</v>
      </c>
      <c r="AA81" s="53">
        <v>77</v>
      </c>
      <c r="AB81" s="197">
        <v>51760</v>
      </c>
      <c r="AC81" s="197">
        <v>53060</v>
      </c>
      <c r="AD81" s="197">
        <v>54360</v>
      </c>
      <c r="AE81" s="197">
        <v>55660</v>
      </c>
      <c r="AF81" s="197">
        <v>50560</v>
      </c>
      <c r="AG81" s="197"/>
    </row>
    <row r="82" spans="2:33" ht="15">
      <c r="B82" s="53">
        <v>8</v>
      </c>
      <c r="C82" s="256">
        <v>41183</v>
      </c>
      <c r="I82" s="53">
        <v>8</v>
      </c>
      <c r="J82" s="248" t="str">
        <f>"October"&amp;" 2012"</f>
        <v>October 2012</v>
      </c>
      <c r="S82" s="53">
        <v>8</v>
      </c>
      <c r="T82" s="248" t="str">
        <f>"October"&amp;" 2012"</f>
        <v>October 2012</v>
      </c>
      <c r="AA82" s="199">
        <v>78</v>
      </c>
      <c r="AB82" s="197">
        <v>53060</v>
      </c>
      <c r="AC82" s="197">
        <v>54360</v>
      </c>
      <c r="AD82" s="197">
        <v>55660</v>
      </c>
      <c r="AF82" s="197">
        <v>51760</v>
      </c>
      <c r="AG82" s="197"/>
    </row>
    <row r="83" spans="2:33" ht="15">
      <c r="B83" s="53">
        <v>9</v>
      </c>
      <c r="C83" s="256">
        <v>41214</v>
      </c>
      <c r="I83" s="53">
        <v>9</v>
      </c>
      <c r="J83" s="248" t="str">
        <f>"November"&amp;" 2012"</f>
        <v>November 2012</v>
      </c>
      <c r="S83" s="53">
        <v>9</v>
      </c>
      <c r="T83" s="248" t="str">
        <f>"November"&amp;" 2012"</f>
        <v>November 2012</v>
      </c>
      <c r="AA83" s="53">
        <v>79</v>
      </c>
      <c r="AB83" s="197">
        <v>54360</v>
      </c>
      <c r="AC83" s="197">
        <v>55660</v>
      </c>
      <c r="AF83" s="197">
        <v>53060</v>
      </c>
      <c r="AG83" s="197"/>
    </row>
    <row r="84" spans="2:32" ht="15">
      <c r="B84" s="53">
        <v>10</v>
      </c>
      <c r="C84" s="256">
        <v>41244</v>
      </c>
      <c r="I84" s="53">
        <v>10</v>
      </c>
      <c r="J84" s="248" t="str">
        <f>"December"&amp;" 2012"</f>
        <v>December 2012</v>
      </c>
      <c r="S84" s="53">
        <v>10</v>
      </c>
      <c r="T84" s="248" t="str">
        <f>"December"&amp;" 2012"</f>
        <v>December 2012</v>
      </c>
      <c r="AA84" s="199">
        <v>80</v>
      </c>
      <c r="AB84" s="197">
        <v>55660</v>
      </c>
      <c r="AF84" s="197">
        <v>54360</v>
      </c>
    </row>
    <row r="85" spans="2:27" ht="15">
      <c r="B85" s="53">
        <v>11</v>
      </c>
      <c r="C85" s="256">
        <v>41275</v>
      </c>
      <c r="I85" s="53">
        <v>11</v>
      </c>
      <c r="J85" s="248" t="str">
        <f>"January"&amp;" 2013"</f>
        <v>January 2013</v>
      </c>
      <c r="S85" s="53">
        <v>11</v>
      </c>
      <c r="T85" s="248" t="str">
        <f>"January"&amp;" 2013"</f>
        <v>January 2013</v>
      </c>
      <c r="AA85" s="53">
        <v>81</v>
      </c>
    </row>
    <row r="86" spans="2:32" ht="15">
      <c r="B86" s="53">
        <v>12</v>
      </c>
      <c r="C86" s="256">
        <v>41306</v>
      </c>
      <c r="I86" s="53">
        <v>12</v>
      </c>
      <c r="J86" s="248" t="str">
        <f>"February"&amp;" 2013"</f>
        <v>February 2013</v>
      </c>
      <c r="S86" s="53">
        <v>12</v>
      </c>
      <c r="T86" s="248" t="str">
        <f>"February"&amp;" 2013"</f>
        <v>February 2013</v>
      </c>
      <c r="AF86" s="197">
        <v>55660</v>
      </c>
    </row>
    <row r="90" spans="2:15" ht="15">
      <c r="B90" s="257">
        <v>1</v>
      </c>
      <c r="C90" s="258" t="s">
        <v>292</v>
      </c>
      <c r="M90" s="53" t="s">
        <v>69</v>
      </c>
      <c r="N90" s="53" t="s">
        <v>68</v>
      </c>
      <c r="O90" s="53" t="s">
        <v>75</v>
      </c>
    </row>
    <row r="91" spans="2:15" ht="15">
      <c r="B91" s="257">
        <v>2</v>
      </c>
      <c r="C91" s="258" t="s">
        <v>291</v>
      </c>
      <c r="I91" s="53" t="s">
        <v>100</v>
      </c>
      <c r="J91" s="53">
        <f>IF(B32=11,VLOOKUP(Q31,AB5:AF80,5,0),IF(B32=12,Q31,Q31))</f>
        <v>18520</v>
      </c>
      <c r="M91" s="53">
        <f>ROUND(J91*41.944%,0)</f>
        <v>7768</v>
      </c>
      <c r="N91" s="53">
        <f>ROUND(J91*35.952%,0)</f>
        <v>6658</v>
      </c>
      <c r="O91" s="53">
        <f>M91-N91</f>
        <v>1110</v>
      </c>
    </row>
    <row r="92" spans="2:21" ht="15">
      <c r="B92" s="257">
        <v>3</v>
      </c>
      <c r="C92" s="258" t="s">
        <v>59</v>
      </c>
      <c r="I92" s="53" t="s">
        <v>347</v>
      </c>
      <c r="J92" s="53">
        <f>IF(B32=12,VLOOKUP(Q31,AB5:AF80,5,0),Q31)</f>
        <v>18520</v>
      </c>
      <c r="M92" s="53">
        <f>ROUND(J92*41.944%,0)</f>
        <v>7768</v>
      </c>
      <c r="N92" s="53">
        <f>ROUND(J92*35.952%,0)</f>
        <v>6658</v>
      </c>
      <c r="O92" s="53">
        <f>M92-N92</f>
        <v>1110</v>
      </c>
      <c r="T92" s="53">
        <v>1</v>
      </c>
      <c r="U92" s="53" t="str">
        <f>VLOOKUP(T92,T93:U94,2,0)</f>
        <v>Rented</v>
      </c>
    </row>
    <row r="93" spans="2:21" ht="15">
      <c r="B93" s="257">
        <v>4</v>
      </c>
      <c r="C93" s="258" t="s">
        <v>153</v>
      </c>
      <c r="I93" s="53" t="s">
        <v>66</v>
      </c>
      <c r="J93" s="53">
        <f>'Salary Details'!C4</f>
        <v>18520</v>
      </c>
      <c r="M93" s="53">
        <f>ROUND(J93*41.944%,0)</f>
        <v>7768</v>
      </c>
      <c r="N93" s="53">
        <f>ROUND(J93*35.952%,0)</f>
        <v>6658</v>
      </c>
      <c r="O93" s="53">
        <f>M93-N93</f>
        <v>1110</v>
      </c>
      <c r="T93" s="53">
        <v>1</v>
      </c>
      <c r="U93" s="53" t="s">
        <v>163</v>
      </c>
    </row>
    <row r="94" spans="2:21" ht="15">
      <c r="B94" s="257">
        <v>5</v>
      </c>
      <c r="C94" s="258" t="s">
        <v>60</v>
      </c>
      <c r="I94" s="53" t="s">
        <v>67</v>
      </c>
      <c r="J94" s="53">
        <f>'Salary Details'!C5</f>
        <v>18520</v>
      </c>
      <c r="M94" s="53">
        <f>ROUND(J94*41.944%,0)</f>
        <v>7768</v>
      </c>
      <c r="N94" s="53">
        <f>ROUND(J94*35.952%,0)</f>
        <v>6658</v>
      </c>
      <c r="O94" s="53">
        <f>M94-N94</f>
        <v>1110</v>
      </c>
      <c r="T94" s="53">
        <v>2</v>
      </c>
      <c r="U94" s="53" t="s">
        <v>162</v>
      </c>
    </row>
    <row r="95" spans="2:15" ht="15">
      <c r="B95" s="257">
        <v>6</v>
      </c>
      <c r="C95" s="258" t="s">
        <v>61</v>
      </c>
      <c r="O95" s="255">
        <f>SUM(O91:O94)+O96</f>
        <v>4440</v>
      </c>
    </row>
    <row r="96" spans="2:15" ht="15">
      <c r="B96" s="257">
        <v>7</v>
      </c>
      <c r="C96" s="258" t="s">
        <v>62</v>
      </c>
      <c r="I96" s="53" t="s">
        <v>164</v>
      </c>
      <c r="J96" s="53">
        <f>IF(B108&lt;5,E108,0)</f>
        <v>0</v>
      </c>
      <c r="M96" s="53">
        <f>ROUND(J96*29.96%,0)</f>
        <v>0</v>
      </c>
      <c r="N96" s="53">
        <f>ROUND(J96*24.824%,0)</f>
        <v>0</v>
      </c>
      <c r="O96" s="53">
        <f aca="true" t="shared" si="10" ref="O96:O101">M96-N96</f>
        <v>0</v>
      </c>
    </row>
    <row r="97" spans="2:18" ht="15">
      <c r="B97" s="257">
        <v>8</v>
      </c>
      <c r="C97" s="258" t="s">
        <v>63</v>
      </c>
      <c r="I97" s="53" t="s">
        <v>70</v>
      </c>
      <c r="J97" s="53">
        <f>'Salary Details'!C8</f>
        <v>19050</v>
      </c>
      <c r="M97" s="53">
        <f>ROUND(J97*47.936%,0)</f>
        <v>9132</v>
      </c>
      <c r="N97" s="53">
        <f>ROUND(J97*41.944%,0)</f>
        <v>7990</v>
      </c>
      <c r="O97" s="53">
        <f t="shared" si="10"/>
        <v>1142</v>
      </c>
      <c r="P97" s="53" t="s">
        <v>361</v>
      </c>
      <c r="Q97" s="53">
        <f>'Salary Details'!C13</f>
        <v>19580</v>
      </c>
      <c r="R97" s="53">
        <f>ROUND(Q97*35.952%,0)-ROUND(Q97*29.96%,0)</f>
        <v>1173</v>
      </c>
    </row>
    <row r="98" spans="2:18" ht="15">
      <c r="B98" s="257">
        <v>9</v>
      </c>
      <c r="C98" s="258" t="s">
        <v>293</v>
      </c>
      <c r="I98" s="53" t="s">
        <v>71</v>
      </c>
      <c r="J98" s="53">
        <f>'Salary Details'!C9</f>
        <v>19580</v>
      </c>
      <c r="M98" s="53">
        <f>ROUND(J98*47.936%,0)</f>
        <v>9386</v>
      </c>
      <c r="N98" s="53">
        <f>ROUND(J98*41.944%,0)</f>
        <v>8213</v>
      </c>
      <c r="O98" s="53">
        <f t="shared" si="10"/>
        <v>1173</v>
      </c>
      <c r="P98" s="53" t="s">
        <v>362</v>
      </c>
      <c r="Q98" s="53">
        <f>'Salary Details'!C14</f>
        <v>19580</v>
      </c>
      <c r="R98" s="53">
        <f>ROUND(Q98*35.952%,0)-ROUND(Q98*29.96%,0)</f>
        <v>1173</v>
      </c>
    </row>
    <row r="99" spans="9:18" ht="15">
      <c r="I99" s="53" t="s">
        <v>72</v>
      </c>
      <c r="J99" s="53">
        <f>'Salary Details'!C10</f>
        <v>19580</v>
      </c>
      <c r="M99" s="53">
        <f>ROUND(J99*47.936%,0)</f>
        <v>9386</v>
      </c>
      <c r="N99" s="53">
        <f>ROUND(J99*41.944%,0)</f>
        <v>8213</v>
      </c>
      <c r="O99" s="53">
        <f t="shared" si="10"/>
        <v>1173</v>
      </c>
      <c r="P99" s="53" t="s">
        <v>363</v>
      </c>
      <c r="R99" s="380">
        <f>R98+R97+O101</f>
        <v>3519</v>
      </c>
    </row>
    <row r="100" spans="2:18" ht="15">
      <c r="B100" s="257">
        <v>4</v>
      </c>
      <c r="C100" s="53" t="str">
        <f aca="true" t="shared" si="11" ref="C100:C106">VLOOKUP(B100,$B$90:$D$98,2,0)</f>
        <v>LIC Annual Premiums </v>
      </c>
      <c r="I100" s="53" t="s">
        <v>73</v>
      </c>
      <c r="J100" s="53">
        <f>'Salary Details'!C11</f>
        <v>19580</v>
      </c>
      <c r="M100" s="53">
        <f>ROUND(J100*47.936%,0)</f>
        <v>9386</v>
      </c>
      <c r="N100" s="53">
        <f>ROUND(J100*41.944%,0)</f>
        <v>8213</v>
      </c>
      <c r="O100" s="53">
        <f t="shared" si="10"/>
        <v>1173</v>
      </c>
      <c r="Q100" s="53" t="s">
        <v>189</v>
      </c>
      <c r="R100" s="382">
        <f>R99+O102</f>
        <v>8180</v>
      </c>
    </row>
    <row r="101" spans="2:15" ht="15">
      <c r="B101" s="257">
        <v>1</v>
      </c>
      <c r="C101" s="53" t="str">
        <f t="shared" si="11"/>
        <v>Tution Fee for 2 Chidren</v>
      </c>
      <c r="I101" s="53" t="s">
        <v>74</v>
      </c>
      <c r="J101" s="53">
        <f>'Salary Details'!C12</f>
        <v>19580</v>
      </c>
      <c r="M101" s="53">
        <f>ROUND(J101*47.936%,0)</f>
        <v>9386</v>
      </c>
      <c r="N101" s="53">
        <f>ROUND(J101*41.944%,0)</f>
        <v>8213</v>
      </c>
      <c r="O101" s="53">
        <f t="shared" si="10"/>
        <v>1173</v>
      </c>
    </row>
    <row r="102" spans="2:15" ht="15">
      <c r="B102" s="257">
        <v>2</v>
      </c>
      <c r="C102" s="53" t="str">
        <f t="shared" si="11"/>
        <v>Repayment of Home Loan Premium</v>
      </c>
      <c r="I102" s="53" t="s">
        <v>164</v>
      </c>
      <c r="J102" s="53">
        <f>IF(AND(B108&gt;9,B108&lt;=19),E108,0)</f>
        <v>19580</v>
      </c>
      <c r="M102" s="53">
        <f>ROUND(J102*35.952%,0)</f>
        <v>7039</v>
      </c>
      <c r="N102" s="53">
        <f>ROUND(J102*29.96%,0)</f>
        <v>5866</v>
      </c>
      <c r="O102" s="379">
        <f>SUM(O97:O100)</f>
        <v>4661</v>
      </c>
    </row>
    <row r="103" spans="2:14" ht="15">
      <c r="B103" s="257">
        <v>5</v>
      </c>
      <c r="C103" s="53" t="str">
        <f t="shared" si="11"/>
        <v>PLI Annual Premuim</v>
      </c>
      <c r="N103" s="53">
        <f>M102-N102</f>
        <v>1173</v>
      </c>
    </row>
    <row r="104" spans="2:3" ht="15">
      <c r="B104" s="257">
        <v>7</v>
      </c>
      <c r="C104" s="53" t="str">
        <f t="shared" si="11"/>
        <v>5 Years Fixed Deposits </v>
      </c>
    </row>
    <row r="105" spans="2:3" ht="15">
      <c r="B105" s="257">
        <v>6</v>
      </c>
      <c r="C105" s="53" t="str">
        <f t="shared" si="11"/>
        <v>Unit Linked Insurance Plan</v>
      </c>
    </row>
    <row r="106" spans="2:3" ht="15">
      <c r="B106" s="255">
        <v>9</v>
      </c>
      <c r="C106" s="53" t="str">
        <f t="shared" si="11"/>
        <v>Others U/s 80 C</v>
      </c>
    </row>
    <row r="107" spans="5:22" ht="15">
      <c r="E107" s="53" t="s">
        <v>13</v>
      </c>
      <c r="F107" s="53" t="s">
        <v>17</v>
      </c>
      <c r="G107" s="53" t="s">
        <v>12</v>
      </c>
      <c r="I107" s="435" t="s">
        <v>1</v>
      </c>
      <c r="J107" s="435"/>
      <c r="K107" s="435"/>
      <c r="L107" s="435"/>
      <c r="M107" s="435"/>
      <c r="N107" s="435"/>
      <c r="O107" s="435"/>
      <c r="P107" s="435"/>
      <c r="Q107" s="53" t="str">
        <f>F31</f>
        <v>April 2012</v>
      </c>
      <c r="S107" s="255" t="s">
        <v>81</v>
      </c>
      <c r="T107" s="53" t="s">
        <v>82</v>
      </c>
      <c r="V107" s="53" t="s">
        <v>165</v>
      </c>
    </row>
    <row r="108" spans="2:22" ht="15">
      <c r="B108" s="257">
        <v>19</v>
      </c>
      <c r="C108" s="255" t="str">
        <f>VLOOKUP(B108,B109:D133,2,0)</f>
        <v>30 Days - Nov,12</v>
      </c>
      <c r="E108" s="255">
        <f>VLOOKUP(B108,B109:G133,4,0)</f>
        <v>19580</v>
      </c>
      <c r="F108" s="255">
        <f>VLOOKUP(B108,B109:G133,5,0)</f>
        <v>9386</v>
      </c>
      <c r="G108" s="255">
        <f>VLOOKUP(B108,B109:G133,6,0)</f>
        <v>2839</v>
      </c>
      <c r="I108" s="53">
        <v>1</v>
      </c>
      <c r="J108" s="248" t="str">
        <f>F33</f>
        <v>March 2012</v>
      </c>
      <c r="M108" s="259">
        <v>40603</v>
      </c>
      <c r="N108" s="259">
        <f>M109-1</f>
        <v>40633</v>
      </c>
      <c r="O108" s="260">
        <f>DAY(M108)</f>
        <v>1</v>
      </c>
      <c r="P108" s="53">
        <f>DAY(N108)</f>
        <v>31</v>
      </c>
      <c r="Q108" s="255">
        <f>VLOOKUP(F31,J108:P119,7,0)</f>
        <v>30</v>
      </c>
      <c r="R108" s="255">
        <f>E32</f>
        <v>17</v>
      </c>
      <c r="S108" s="255">
        <f>Q108-R108</f>
        <v>13</v>
      </c>
      <c r="T108" s="53" t="str">
        <f>CONCATENATE(R108," - ",Q108,"/",MONTH(Q107),"/",YEAR(Q107))</f>
        <v>17 - 30/4/2012</v>
      </c>
      <c r="V108" s="53">
        <f>S108+1</f>
        <v>14</v>
      </c>
    </row>
    <row r="109" spans="2:16" ht="15">
      <c r="B109" s="257">
        <v>1</v>
      </c>
      <c r="C109" s="257" t="s">
        <v>64</v>
      </c>
      <c r="E109" s="53">
        <v>0</v>
      </c>
      <c r="F109" s="53">
        <v>0</v>
      </c>
      <c r="G109" s="53">
        <v>0</v>
      </c>
      <c r="I109" s="53">
        <v>2</v>
      </c>
      <c r="J109" s="248" t="str">
        <f aca="true" t="shared" si="12" ref="J109:J119">F34</f>
        <v>April 2012</v>
      </c>
      <c r="M109" s="259">
        <v>40634</v>
      </c>
      <c r="N109" s="259">
        <f aca="true" t="shared" si="13" ref="N109:N120">M110-1</f>
        <v>40663</v>
      </c>
      <c r="O109" s="260">
        <f aca="true" t="shared" si="14" ref="O109:O120">DAY(M109)</f>
        <v>1</v>
      </c>
      <c r="P109" s="53">
        <f aca="true" t="shared" si="15" ref="P109:P120">DAY(N109)</f>
        <v>30</v>
      </c>
    </row>
    <row r="110" spans="2:29" ht="15">
      <c r="B110" s="257">
        <v>2</v>
      </c>
      <c r="C110" s="257" t="s">
        <v>382</v>
      </c>
      <c r="E110" s="53">
        <f>ROUND(E111/2,0)</f>
        <v>9260</v>
      </c>
      <c r="F110" s="53">
        <f>ROUND(F111/2,0)</f>
        <v>3329</v>
      </c>
      <c r="G110" s="53">
        <f>ROUND(G111/2,0)</f>
        <v>1343</v>
      </c>
      <c r="I110" s="53">
        <v>3</v>
      </c>
      <c r="J110" s="248" t="str">
        <f t="shared" si="12"/>
        <v>May 2012</v>
      </c>
      <c r="M110" s="259">
        <v>40664</v>
      </c>
      <c r="N110" s="259">
        <f t="shared" si="13"/>
        <v>40694</v>
      </c>
      <c r="O110" s="260">
        <f t="shared" si="14"/>
        <v>1</v>
      </c>
      <c r="P110" s="53">
        <f t="shared" si="15"/>
        <v>31</v>
      </c>
      <c r="R110" s="435" t="s">
        <v>83</v>
      </c>
      <c r="S110" s="435"/>
      <c r="T110" s="435"/>
      <c r="U110" s="435"/>
      <c r="V110" s="435" t="s">
        <v>85</v>
      </c>
      <c r="W110" s="435"/>
      <c r="X110" s="435"/>
      <c r="Y110" s="435"/>
      <c r="Z110" s="435" t="s">
        <v>75</v>
      </c>
      <c r="AA110" s="435"/>
      <c r="AB110" s="435"/>
      <c r="AC110" s="435"/>
    </row>
    <row r="111" spans="2:29" ht="15">
      <c r="B111" s="257">
        <v>3</v>
      </c>
      <c r="C111" s="257" t="s">
        <v>383</v>
      </c>
      <c r="E111" s="53">
        <f>'Salary Details'!C4</f>
        <v>18520</v>
      </c>
      <c r="F111" s="53">
        <f>'Salary Details'!D4</f>
        <v>6658</v>
      </c>
      <c r="G111" s="53">
        <f>'Salary Details'!E4</f>
        <v>2685</v>
      </c>
      <c r="I111" s="53">
        <v>4</v>
      </c>
      <c r="J111" s="248" t="str">
        <f t="shared" si="12"/>
        <v>June 2012</v>
      </c>
      <c r="M111" s="259">
        <v>40695</v>
      </c>
      <c r="N111" s="259">
        <f t="shared" si="13"/>
        <v>40724</v>
      </c>
      <c r="O111" s="260">
        <f t="shared" si="14"/>
        <v>1</v>
      </c>
      <c r="P111" s="53">
        <f t="shared" si="15"/>
        <v>30</v>
      </c>
      <c r="R111" s="261" t="s">
        <v>13</v>
      </c>
      <c r="S111" s="261" t="s">
        <v>17</v>
      </c>
      <c r="T111" s="261" t="s">
        <v>12</v>
      </c>
      <c r="U111" s="261" t="s">
        <v>84</v>
      </c>
      <c r="V111" s="261" t="s">
        <v>13</v>
      </c>
      <c r="W111" s="261" t="s">
        <v>17</v>
      </c>
      <c r="X111" s="261" t="s">
        <v>12</v>
      </c>
      <c r="Y111" s="261" t="s">
        <v>35</v>
      </c>
      <c r="Z111" s="261" t="s">
        <v>13</v>
      </c>
      <c r="AA111" s="261" t="s">
        <v>17</v>
      </c>
      <c r="AB111" s="261" t="s">
        <v>12</v>
      </c>
      <c r="AC111" s="261" t="s">
        <v>84</v>
      </c>
    </row>
    <row r="112" spans="2:29" ht="15">
      <c r="B112" s="257">
        <v>4</v>
      </c>
      <c r="C112" s="257" t="s">
        <v>384</v>
      </c>
      <c r="E112" s="53">
        <f>ROUND(E113/2,0)</f>
        <v>9260</v>
      </c>
      <c r="F112" s="53">
        <f>ROUND(F113/2,0)</f>
        <v>3329</v>
      </c>
      <c r="G112" s="53">
        <f>ROUND(G113/2,0)</f>
        <v>1343</v>
      </c>
      <c r="I112" s="53">
        <v>5</v>
      </c>
      <c r="J112" s="248" t="str">
        <f t="shared" si="12"/>
        <v>July 2012</v>
      </c>
      <c r="M112" s="259">
        <v>40725</v>
      </c>
      <c r="N112" s="259">
        <f t="shared" si="13"/>
        <v>40755</v>
      </c>
      <c r="O112" s="260">
        <f t="shared" si="14"/>
        <v>1</v>
      </c>
      <c r="P112" s="53">
        <f t="shared" si="15"/>
        <v>31</v>
      </c>
      <c r="Q112" s="53">
        <f>VLOOKUP(Q107,N36:O47,2,0)</f>
        <v>2</v>
      </c>
      <c r="R112" s="255">
        <f>VLOOKUP(Q112+1,O36:R47,2,0)</f>
        <v>19050</v>
      </c>
      <c r="S112" s="53">
        <f>VLOOKUP(Q112+1,O36:R47,4,0)</f>
        <v>41.944</v>
      </c>
      <c r="T112" s="53">
        <f>VLOOKUP(Q112+1,O36:R47,3,0)</f>
        <v>14.5</v>
      </c>
      <c r="U112" s="255"/>
      <c r="V112" s="255">
        <f>VLOOKUP(Q112,O36:R47,2,0)</f>
        <v>18520</v>
      </c>
      <c r="W112" s="53">
        <f>S112</f>
        <v>41.944</v>
      </c>
      <c r="X112" s="53">
        <f>VLOOKUP(Q112,O36:R47,3,0)</f>
        <v>14.5</v>
      </c>
      <c r="Z112" s="255">
        <f>R112-V112</f>
        <v>530</v>
      </c>
      <c r="AA112" s="255">
        <f>ROUND(R112*S112%,0)-ROUND(V112*W112%,0)</f>
        <v>222</v>
      </c>
      <c r="AB112" s="255">
        <f>T113-X113</f>
        <v>77</v>
      </c>
      <c r="AC112" s="255">
        <f>SUM(Z112:AB112)</f>
        <v>829</v>
      </c>
    </row>
    <row r="113" spans="2:29" ht="15">
      <c r="B113" s="257">
        <v>5</v>
      </c>
      <c r="C113" s="257" t="s">
        <v>385</v>
      </c>
      <c r="E113" s="53">
        <f>'Salary Details'!C5</f>
        <v>18520</v>
      </c>
      <c r="F113" s="53">
        <f>'Salary Details'!D4</f>
        <v>6658</v>
      </c>
      <c r="G113" s="53">
        <f>'Salary Details'!E5</f>
        <v>2685</v>
      </c>
      <c r="I113" s="53">
        <v>6</v>
      </c>
      <c r="J113" s="248" t="str">
        <f t="shared" si="12"/>
        <v>August 2012</v>
      </c>
      <c r="M113" s="259">
        <v>40756</v>
      </c>
      <c r="N113" s="259">
        <f t="shared" si="13"/>
        <v>40786</v>
      </c>
      <c r="O113" s="260">
        <f t="shared" si="14"/>
        <v>1</v>
      </c>
      <c r="P113" s="53">
        <f t="shared" si="15"/>
        <v>31</v>
      </c>
      <c r="R113" s="53">
        <f>R112</f>
        <v>19050</v>
      </c>
      <c r="S113" s="53">
        <f>ROUND(R113*S112%,0)</f>
        <v>7990</v>
      </c>
      <c r="T113" s="53">
        <f>ROUND(R113*T112%,0)</f>
        <v>2762</v>
      </c>
      <c r="V113" s="53">
        <f>V112</f>
        <v>18520</v>
      </c>
      <c r="W113" s="53">
        <f>ROUND(V112*W112%,0)</f>
        <v>7768</v>
      </c>
      <c r="X113" s="53">
        <f>ROUND(V113*X112%,0)</f>
        <v>2685</v>
      </c>
      <c r="Z113" s="53">
        <f>ROUND(Z112*$V$108/$Q$108,0)</f>
        <v>247</v>
      </c>
      <c r="AA113" s="53">
        <f>ROUND((AA112/Q108)*V108,0)</f>
        <v>104</v>
      </c>
      <c r="AB113" s="53">
        <f>IF(AA112=0,0,ROUND(AB112*$V$108/$Q$108,0))</f>
        <v>36</v>
      </c>
      <c r="AC113" s="53">
        <f>Z113+AA113+AB113</f>
        <v>387</v>
      </c>
    </row>
    <row r="114" spans="2:28" ht="15">
      <c r="B114" s="257">
        <v>6</v>
      </c>
      <c r="C114" s="257" t="s">
        <v>386</v>
      </c>
      <c r="E114" s="53">
        <f>ROUND(E115/2,0)</f>
        <v>9525</v>
      </c>
      <c r="F114" s="53">
        <f>ROUND(F115/2,0)</f>
        <v>3995</v>
      </c>
      <c r="G114" s="53">
        <f>ROUND(G115/2,0)</f>
        <v>1381</v>
      </c>
      <c r="I114" s="53">
        <v>7</v>
      </c>
      <c r="J114" s="248" t="str">
        <f t="shared" si="12"/>
        <v>September 2012</v>
      </c>
      <c r="M114" s="259">
        <v>40787</v>
      </c>
      <c r="N114" s="259">
        <f t="shared" si="13"/>
        <v>40816</v>
      </c>
      <c r="O114" s="260">
        <f t="shared" si="14"/>
        <v>1</v>
      </c>
      <c r="P114" s="53">
        <f t="shared" si="15"/>
        <v>30</v>
      </c>
      <c r="R114" s="53">
        <f>ROUND((R113/Q108)*V108,0)</f>
        <v>8890</v>
      </c>
      <c r="S114" s="53">
        <f>ROUND(R114*S112%,0)</f>
        <v>3729</v>
      </c>
      <c r="T114" s="53">
        <f>ROUND(R114*T112%,0)</f>
        <v>1289</v>
      </c>
      <c r="V114" s="53">
        <f>ROUND((V113/Q108)*14,0)</f>
        <v>8643</v>
      </c>
      <c r="W114" s="53">
        <f>ROUND(V114*W112%,0)</f>
        <v>3625</v>
      </c>
      <c r="X114" s="53">
        <f>ROUND(V114*X112%,0)</f>
        <v>1253</v>
      </c>
      <c r="Z114" s="53">
        <f>R114-V114</f>
        <v>247</v>
      </c>
      <c r="AA114" s="53">
        <f>S114-W114</f>
        <v>104</v>
      </c>
      <c r="AB114" s="53">
        <f>T114-X114</f>
        <v>36</v>
      </c>
    </row>
    <row r="115" spans="2:16" ht="15">
      <c r="B115" s="257">
        <v>7</v>
      </c>
      <c r="C115" s="257" t="s">
        <v>387</v>
      </c>
      <c r="E115" s="53">
        <f>'Salary Details'!C6</f>
        <v>19050</v>
      </c>
      <c r="F115" s="53">
        <f>'Salary Details'!D6</f>
        <v>7990</v>
      </c>
      <c r="G115" s="53">
        <f>'Salary Details'!E6</f>
        <v>2762</v>
      </c>
      <c r="I115" s="53">
        <v>8</v>
      </c>
      <c r="J115" s="248" t="str">
        <f t="shared" si="12"/>
        <v>October 2012</v>
      </c>
      <c r="M115" s="259">
        <v>40817</v>
      </c>
      <c r="N115" s="259">
        <f t="shared" si="13"/>
        <v>40847</v>
      </c>
      <c r="O115" s="260">
        <f t="shared" si="14"/>
        <v>1</v>
      </c>
      <c r="P115" s="53">
        <f t="shared" si="15"/>
        <v>31</v>
      </c>
    </row>
    <row r="116" spans="2:28" ht="15">
      <c r="B116" s="257">
        <v>8</v>
      </c>
      <c r="C116" s="257" t="s">
        <v>388</v>
      </c>
      <c r="E116" s="53">
        <f>ROUND(E117/2,0)</f>
        <v>9525</v>
      </c>
      <c r="F116" s="53">
        <f>ROUND(F117/2,0)</f>
        <v>3995</v>
      </c>
      <c r="G116" s="53">
        <f>ROUND(G117/2,0)</f>
        <v>1381</v>
      </c>
      <c r="I116" s="53">
        <v>9</v>
      </c>
      <c r="J116" s="248" t="str">
        <f t="shared" si="12"/>
        <v>November 2012</v>
      </c>
      <c r="M116" s="259">
        <v>40848</v>
      </c>
      <c r="N116" s="259">
        <f t="shared" si="13"/>
        <v>40877</v>
      </c>
      <c r="O116" s="260">
        <f t="shared" si="14"/>
        <v>1</v>
      </c>
      <c r="P116" s="53">
        <f t="shared" si="15"/>
        <v>30</v>
      </c>
      <c r="AA116" s="53">
        <f>S112-W112</f>
        <v>0</v>
      </c>
      <c r="AB116" s="53">
        <f>ROUND(360*AA116%,0)</f>
        <v>0</v>
      </c>
    </row>
    <row r="117" spans="2:27" ht="15">
      <c r="B117" s="257">
        <v>9</v>
      </c>
      <c r="C117" s="257" t="s">
        <v>389</v>
      </c>
      <c r="E117" s="53">
        <f>'Salary Details'!C7</f>
        <v>19050</v>
      </c>
      <c r="F117" s="53">
        <f>'Salary Details'!D7</f>
        <v>7990</v>
      </c>
      <c r="G117" s="53">
        <f>'Salary Details'!E7</f>
        <v>2762</v>
      </c>
      <c r="I117" s="53">
        <v>10</v>
      </c>
      <c r="J117" s="248" t="str">
        <f t="shared" si="12"/>
        <v>December 2012</v>
      </c>
      <c r="M117" s="259">
        <v>40878</v>
      </c>
      <c r="N117" s="259">
        <f t="shared" si="13"/>
        <v>40908</v>
      </c>
      <c r="O117" s="260">
        <f t="shared" si="14"/>
        <v>1</v>
      </c>
      <c r="P117" s="53">
        <f t="shared" si="15"/>
        <v>31</v>
      </c>
      <c r="AA117" s="53">
        <f>AA112</f>
        <v>222</v>
      </c>
    </row>
    <row r="118" spans="2:16" ht="15">
      <c r="B118" s="257">
        <v>10</v>
      </c>
      <c r="C118" s="257" t="s">
        <v>390</v>
      </c>
      <c r="E118" s="53">
        <f>ROUND(E119/2,0)</f>
        <v>9525</v>
      </c>
      <c r="F118" s="53">
        <f>ROUND(F119/2,0)</f>
        <v>3995</v>
      </c>
      <c r="G118" s="53">
        <f>ROUND(G119/2,0)</f>
        <v>1381</v>
      </c>
      <c r="I118" s="53">
        <v>11</v>
      </c>
      <c r="J118" s="248" t="str">
        <f t="shared" si="12"/>
        <v>January 2013</v>
      </c>
      <c r="M118" s="259">
        <v>40909</v>
      </c>
      <c r="N118" s="259">
        <f t="shared" si="13"/>
        <v>40939</v>
      </c>
      <c r="O118" s="260">
        <f t="shared" si="14"/>
        <v>1</v>
      </c>
      <c r="P118" s="53">
        <f t="shared" si="15"/>
        <v>31</v>
      </c>
    </row>
    <row r="119" spans="2:16" ht="15">
      <c r="B119" s="257">
        <v>11</v>
      </c>
      <c r="C119" s="257" t="s">
        <v>391</v>
      </c>
      <c r="E119" s="53">
        <f>'Salary Details'!C8</f>
        <v>19050</v>
      </c>
      <c r="F119" s="53">
        <f>'Salary Details'!D8</f>
        <v>7990</v>
      </c>
      <c r="G119" s="53">
        <f>'Salary Details'!E8</f>
        <v>2762</v>
      </c>
      <c r="I119" s="53">
        <v>12</v>
      </c>
      <c r="J119" s="248" t="str">
        <f t="shared" si="12"/>
        <v>February 2013</v>
      </c>
      <c r="M119" s="259">
        <v>40940</v>
      </c>
      <c r="N119" s="259">
        <f t="shared" si="13"/>
        <v>40968</v>
      </c>
      <c r="O119" s="260">
        <f t="shared" si="14"/>
        <v>1</v>
      </c>
      <c r="P119" s="53">
        <f t="shared" si="15"/>
        <v>29</v>
      </c>
    </row>
    <row r="120" spans="2:16" ht="15">
      <c r="B120" s="257">
        <v>12</v>
      </c>
      <c r="C120" s="257" t="s">
        <v>392</v>
      </c>
      <c r="E120" s="53">
        <f>ROUND(E121/2,0)</f>
        <v>9790</v>
      </c>
      <c r="F120" s="53">
        <f>ROUND(F121/2,0)</f>
        <v>4107</v>
      </c>
      <c r="G120" s="53">
        <f>ROUND(G121/2,0)</f>
        <v>1420</v>
      </c>
      <c r="M120" s="259">
        <v>40969</v>
      </c>
      <c r="N120" s="259">
        <f t="shared" si="13"/>
        <v>-1</v>
      </c>
      <c r="O120" s="260">
        <f t="shared" si="14"/>
        <v>1</v>
      </c>
      <c r="P120" s="53" t="e">
        <f t="shared" si="15"/>
        <v>#NUM!</v>
      </c>
    </row>
    <row r="121" spans="2:21" ht="15">
      <c r="B121" s="257">
        <v>13</v>
      </c>
      <c r="C121" s="257" t="s">
        <v>393</v>
      </c>
      <c r="E121" s="53">
        <f>'Salary Details'!C9</f>
        <v>19580</v>
      </c>
      <c r="F121" s="53">
        <f>'Salary Details'!D9</f>
        <v>8213</v>
      </c>
      <c r="G121" s="53">
        <f>'Salary Details'!E9</f>
        <v>2839</v>
      </c>
      <c r="M121" s="248"/>
      <c r="S121" s="257" t="str">
        <f>IF(M73=1,S124,S128)</f>
        <v>Up to Rs. 2,00,000</v>
      </c>
      <c r="T121" s="257"/>
      <c r="U121" s="257"/>
    </row>
    <row r="122" spans="2:21" ht="15">
      <c r="B122" s="257">
        <v>14</v>
      </c>
      <c r="C122" s="257" t="s">
        <v>394</v>
      </c>
      <c r="E122" s="53">
        <f>ROUND(E123/2,0)</f>
        <v>9790</v>
      </c>
      <c r="F122" s="53">
        <f>ROUND(F123/2,0)</f>
        <v>4107</v>
      </c>
      <c r="G122" s="53">
        <f>ROUND(G123/2,0)</f>
        <v>1420</v>
      </c>
      <c r="M122" s="248"/>
      <c r="S122" s="257" t="str">
        <f>IF(M73=1,S125,S129)</f>
        <v>Rs.2,00,001 To 5,00,000. (@ 10%)</v>
      </c>
      <c r="T122" s="257"/>
      <c r="U122" s="257"/>
    </row>
    <row r="123" spans="2:21" ht="15">
      <c r="B123" s="257">
        <v>15</v>
      </c>
      <c r="C123" s="257" t="s">
        <v>395</v>
      </c>
      <c r="E123" s="53">
        <f>'Salary Details'!C10</f>
        <v>19580</v>
      </c>
      <c r="F123" s="53">
        <f>'Salary Details'!D10</f>
        <v>8213</v>
      </c>
      <c r="G123" s="53">
        <f>'Salary Details'!E10</f>
        <v>2839</v>
      </c>
      <c r="M123" s="248"/>
      <c r="S123" s="257"/>
      <c r="T123" s="257"/>
      <c r="U123" s="257"/>
    </row>
    <row r="124" spans="2:21" ht="15">
      <c r="B124" s="257">
        <v>16</v>
      </c>
      <c r="C124" s="257" t="s">
        <v>396</v>
      </c>
      <c r="E124" s="53">
        <f>ROUND(E125/2,0)</f>
        <v>9790</v>
      </c>
      <c r="F124" s="53">
        <f>ROUND(F125/2,0)</f>
        <v>4107</v>
      </c>
      <c r="G124" s="53">
        <f>ROUND(G125/2,0)</f>
        <v>1420</v>
      </c>
      <c r="M124" s="248"/>
      <c r="S124" s="108" t="s">
        <v>365</v>
      </c>
      <c r="T124" s="257"/>
      <c r="U124" s="257"/>
    </row>
    <row r="125" spans="2:21" ht="15">
      <c r="B125" s="257">
        <v>17</v>
      </c>
      <c r="C125" s="257" t="s">
        <v>397</v>
      </c>
      <c r="E125" s="53">
        <f>'Salary Details'!C11</f>
        <v>19580</v>
      </c>
      <c r="F125" s="53">
        <f>'Salary Details'!D11</f>
        <v>8213</v>
      </c>
      <c r="G125" s="53">
        <f>'Salary Details'!E11</f>
        <v>2839</v>
      </c>
      <c r="S125" s="108" t="s">
        <v>366</v>
      </c>
      <c r="T125" s="257"/>
      <c r="U125" s="257"/>
    </row>
    <row r="126" spans="2:21" ht="15">
      <c r="B126" s="257">
        <v>18</v>
      </c>
      <c r="C126" s="257" t="s">
        <v>398</v>
      </c>
      <c r="E126" s="53">
        <f>ROUND(E127/2,0)</f>
        <v>9790</v>
      </c>
      <c r="F126" s="53">
        <f>ROUND(F127/2,0)</f>
        <v>4693</v>
      </c>
      <c r="G126" s="53">
        <f>ROUND(G127/2,0)</f>
        <v>1420</v>
      </c>
      <c r="S126" s="257"/>
      <c r="T126" s="257"/>
      <c r="U126" s="257"/>
    </row>
    <row r="127" spans="2:21" ht="15">
      <c r="B127" s="257">
        <v>19</v>
      </c>
      <c r="C127" s="257" t="s">
        <v>399</v>
      </c>
      <c r="E127" s="53">
        <f>'Salary Details'!C12</f>
        <v>19580</v>
      </c>
      <c r="F127" s="53">
        <f>'Salary Details'!D12</f>
        <v>9386</v>
      </c>
      <c r="G127" s="53">
        <f>'Salary Details'!E12</f>
        <v>2839</v>
      </c>
      <c r="S127" s="257"/>
      <c r="T127" s="257"/>
      <c r="U127" s="257"/>
    </row>
    <row r="128" spans="2:21" ht="15">
      <c r="B128" s="257">
        <v>20</v>
      </c>
      <c r="C128" s="257" t="s">
        <v>400</v>
      </c>
      <c r="E128" s="53">
        <f>ROUND(E129/2,0)</f>
        <v>9790</v>
      </c>
      <c r="F128" s="53">
        <f>ROUND(F129/2,0)</f>
        <v>4693</v>
      </c>
      <c r="G128" s="53">
        <f>ROUND(G129/2,0)</f>
        <v>1420</v>
      </c>
      <c r="P128" s="53" t="s">
        <v>12</v>
      </c>
      <c r="S128" s="108" t="s">
        <v>365</v>
      </c>
      <c r="T128" s="257"/>
      <c r="U128" s="257"/>
    </row>
    <row r="129" spans="2:21" ht="15">
      <c r="B129" s="257">
        <v>21</v>
      </c>
      <c r="C129" s="257" t="s">
        <v>401</v>
      </c>
      <c r="E129" s="53">
        <f>'Salary Details'!C13</f>
        <v>19580</v>
      </c>
      <c r="F129" s="53">
        <f>'Salary Details'!D13</f>
        <v>9386</v>
      </c>
      <c r="G129" s="53">
        <f>'Salary Details'!E13</f>
        <v>2839</v>
      </c>
      <c r="O129" s="53" t="s">
        <v>146</v>
      </c>
      <c r="P129" s="255">
        <f>'Salary Details'!E23</f>
        <v>36404</v>
      </c>
      <c r="S129" s="108" t="s">
        <v>367</v>
      </c>
      <c r="T129" s="257"/>
      <c r="U129" s="257"/>
    </row>
    <row r="130" spans="2:16" ht="15">
      <c r="B130" s="257">
        <v>22</v>
      </c>
      <c r="C130" s="257" t="s">
        <v>402</v>
      </c>
      <c r="E130" s="53">
        <f>ROUND(E131/2,0)</f>
        <v>9790</v>
      </c>
      <c r="F130" s="53">
        <f>ROUND(F131/2,0)</f>
        <v>4693</v>
      </c>
      <c r="G130" s="53">
        <f>ROUND(G131/2,0)</f>
        <v>1420</v>
      </c>
      <c r="O130" s="53" t="s">
        <v>13</v>
      </c>
      <c r="P130" s="53">
        <f>'Salary Details'!C23</f>
        <v>251077</v>
      </c>
    </row>
    <row r="131" spans="2:16" ht="15">
      <c r="B131" s="257">
        <v>23</v>
      </c>
      <c r="C131" s="257" t="s">
        <v>403</v>
      </c>
      <c r="E131" s="53">
        <f>'Salary Details'!C14</f>
        <v>19580</v>
      </c>
      <c r="F131" s="53">
        <f>'Salary Details'!D14</f>
        <v>9386</v>
      </c>
      <c r="G131" s="53">
        <f>'Salary Details'!E14</f>
        <v>2839</v>
      </c>
      <c r="O131" s="53" t="s">
        <v>17</v>
      </c>
      <c r="P131" s="53">
        <f>'Salary Details'!D23</f>
        <v>118060</v>
      </c>
    </row>
    <row r="132" spans="2:21" ht="15">
      <c r="B132" s="257">
        <v>24</v>
      </c>
      <c r="C132" s="257" t="s">
        <v>404</v>
      </c>
      <c r="E132" s="53">
        <f>ROUND(E133/2,0)</f>
        <v>9790</v>
      </c>
      <c r="F132" s="53">
        <f>ROUND(F133/2,0)</f>
        <v>4693</v>
      </c>
      <c r="G132" s="53">
        <f>ROUND(G133/2,0)</f>
        <v>1420</v>
      </c>
      <c r="O132" s="262">
        <v>0.1</v>
      </c>
      <c r="P132" s="255">
        <f>ROUND((P131+P130)*10%,0)</f>
        <v>36914</v>
      </c>
      <c r="T132" s="53" t="s">
        <v>371</v>
      </c>
      <c r="U132" s="53" t="s">
        <v>372</v>
      </c>
    </row>
    <row r="133" spans="2:21" ht="15">
      <c r="B133" s="257">
        <v>25</v>
      </c>
      <c r="C133" s="257" t="s">
        <v>405</v>
      </c>
      <c r="E133" s="53">
        <f>'Salary Details'!C15</f>
        <v>19580</v>
      </c>
      <c r="F133" s="53">
        <f>'Salary Details'!D15</f>
        <v>9386</v>
      </c>
      <c r="G133" s="53">
        <f>'Salary Details'!E15</f>
        <v>2839</v>
      </c>
      <c r="M133" s="53" t="s">
        <v>147</v>
      </c>
      <c r="N133" s="255">
        <f>ROUND((P129+P132)/12,-2)+100</f>
        <v>6200</v>
      </c>
      <c r="R133" s="53" t="s">
        <v>157</v>
      </c>
      <c r="U133" s="255">
        <f>'Income Tax Form'!K47</f>
        <v>298840</v>
      </c>
    </row>
    <row r="134" spans="20:24" ht="15">
      <c r="T134" s="263" t="s">
        <v>38</v>
      </c>
      <c r="U134" s="263" t="s">
        <v>39</v>
      </c>
      <c r="V134" s="263" t="str">
        <f>N73</f>
        <v>Female</v>
      </c>
      <c r="W134" s="53" t="str">
        <f>V134</f>
        <v>Female</v>
      </c>
      <c r="X134" s="384" t="s">
        <v>370</v>
      </c>
    </row>
    <row r="135" spans="20:23" ht="15.75" thickBot="1">
      <c r="T135" s="263">
        <v>200000</v>
      </c>
      <c r="U135" s="263">
        <v>200000</v>
      </c>
      <c r="V135" s="263">
        <f>HLOOKUP(V134,T134:U135,2,0)</f>
        <v>200000</v>
      </c>
      <c r="W135" s="53" t="s">
        <v>160</v>
      </c>
    </row>
    <row r="136" spans="3:23" ht="15.75" thickBot="1">
      <c r="C136" s="450"/>
      <c r="D136" s="451"/>
      <c r="E136" s="451"/>
      <c r="F136" s="451"/>
      <c r="G136" s="452"/>
      <c r="S136" s="262" t="str">
        <f>CONCATENATE(S122,"( i.e ",V136,"x","10%)")</f>
        <v>Rs.2,00,001 To 5,00,000. (@ 10%)( i.e 98840x10%)</v>
      </c>
      <c r="T136" s="255">
        <f>IF(U133&gt;500000,300000,IF(AND($U$133&gt;200000,$U$133&lt;=500000),U133-200000,0))</f>
        <v>98840</v>
      </c>
      <c r="U136" s="255">
        <f>IF(U133&gt;500000,300000,IF(AND($U$133&gt;200000,$U$133&lt;=500000),U133-200000,0))</f>
        <v>98840</v>
      </c>
      <c r="V136" s="264">
        <f>HLOOKUP(V135,T135:U136,2,0)</f>
        <v>98840</v>
      </c>
      <c r="W136" s="53">
        <f>ROUND(V136*10%,0)</f>
        <v>9884</v>
      </c>
    </row>
    <row r="137" spans="3:23" ht="15.75" thickBot="1">
      <c r="C137" s="450"/>
      <c r="D137" s="451"/>
      <c r="E137" s="451"/>
      <c r="F137" s="451"/>
      <c r="G137" s="452"/>
      <c r="S137" s="262" t="str">
        <f>S141&amp;IF(T137=0,"","(i.e"&amp;T137&amp;"x20%)")</f>
        <v>Rs.5,00,001 To10,00,000.   (@ 20%)</v>
      </c>
      <c r="T137" s="255">
        <f>IF(U133&gt;1000000,500000,IF(AND(U133&gt;500000,U133&lt;=1000000),U133-500000,0))</f>
        <v>0</v>
      </c>
      <c r="U137" s="255">
        <f>T137</f>
        <v>0</v>
      </c>
      <c r="V137" s="264">
        <f>HLOOKUP(V136,T136:U137,2,0)</f>
        <v>0</v>
      </c>
      <c r="W137" s="53">
        <f>ROUND(V137*20%,0)</f>
        <v>0</v>
      </c>
    </row>
    <row r="138" spans="3:23" ht="15.75" thickBot="1">
      <c r="C138" s="466"/>
      <c r="D138" s="467"/>
      <c r="E138" s="467"/>
      <c r="F138" s="467"/>
      <c r="G138" s="468"/>
      <c r="N138" s="255">
        <f>N133*12</f>
        <v>74400</v>
      </c>
      <c r="O138" s="255">
        <f>P132</f>
        <v>36914</v>
      </c>
      <c r="P138" s="255">
        <f>N138-O138</f>
        <v>37486</v>
      </c>
      <c r="S138" s="262" t="str">
        <f>S142&amp;IF(T138=0,"","(i.e"&amp;T138&amp;"x30%)")</f>
        <v>above Rs.10,00,001.          (@ 30%)</v>
      </c>
      <c r="T138" s="53">
        <f>IF(U133&gt;1000000,U133-1000000,0)</f>
        <v>0</v>
      </c>
      <c r="U138" s="53">
        <f>T138</f>
        <v>0</v>
      </c>
      <c r="V138" s="264">
        <f>HLOOKUP(V137,T137:U138,2,0)</f>
        <v>0</v>
      </c>
      <c r="W138" s="53">
        <f>ROUND(V138*20%,0)</f>
        <v>0</v>
      </c>
    </row>
    <row r="139" ht="15">
      <c r="C139" s="265" t="s">
        <v>90</v>
      </c>
    </row>
    <row r="140" spans="3:22" ht="15">
      <c r="C140" s="257" t="s">
        <v>91</v>
      </c>
      <c r="U140" s="255"/>
      <c r="V140" s="53">
        <f>V136+V137+V138</f>
        <v>98840</v>
      </c>
    </row>
    <row r="141" spans="3:19" ht="15">
      <c r="C141" s="266" t="s">
        <v>92</v>
      </c>
      <c r="S141" s="53" t="s">
        <v>368</v>
      </c>
    </row>
    <row r="142" spans="3:19" ht="15">
      <c r="C142" s="266" t="s">
        <v>87</v>
      </c>
      <c r="S142" s="53" t="s">
        <v>369</v>
      </c>
    </row>
    <row r="143" ht="15">
      <c r="C143" s="266" t="s">
        <v>88</v>
      </c>
    </row>
    <row r="144" ht="15">
      <c r="C144" s="266" t="s">
        <v>89</v>
      </c>
    </row>
    <row r="147" ht="15">
      <c r="D147" s="53" t="s">
        <v>279</v>
      </c>
    </row>
  </sheetData>
  <sheetProtection password="C8D5" sheet="1" selectLockedCells="1"/>
  <mergeCells count="97">
    <mergeCell ref="BG14:BJ19"/>
    <mergeCell ref="AZ19:AZ22"/>
    <mergeCell ref="AZ14:AZ17"/>
    <mergeCell ref="AZ6:AZ11"/>
    <mergeCell ref="AZ2:AZ5"/>
    <mergeCell ref="AH24:BF24"/>
    <mergeCell ref="AL22:AP22"/>
    <mergeCell ref="AQ22:AR22"/>
    <mergeCell ref="AS22:AV22"/>
    <mergeCell ref="AH23:AZ23"/>
    <mergeCell ref="AM7:AP7"/>
    <mergeCell ref="AW3:AY3"/>
    <mergeCell ref="AX5:AY5"/>
    <mergeCell ref="AV7:AW7"/>
    <mergeCell ref="AL4:AP4"/>
    <mergeCell ref="AU3:AV3"/>
    <mergeCell ref="AX7:AY7"/>
    <mergeCell ref="AS7:AT7"/>
    <mergeCell ref="C138:G138"/>
    <mergeCell ref="AT17:AV17"/>
    <mergeCell ref="AT18:AV18"/>
    <mergeCell ref="AT19:AV19"/>
    <mergeCell ref="I107:P107"/>
    <mergeCell ref="AH4:AH9"/>
    <mergeCell ref="AH25:BF26"/>
    <mergeCell ref="C137:G137"/>
    <mergeCell ref="B31:C31"/>
    <mergeCell ref="BA17:BF17"/>
    <mergeCell ref="D30:G30"/>
    <mergeCell ref="AK21:AL21"/>
    <mergeCell ref="H30:K30"/>
    <mergeCell ref="AI20:AJ20"/>
    <mergeCell ref="O72:P72"/>
    <mergeCell ref="B30:C30"/>
    <mergeCell ref="AI22:AK22"/>
    <mergeCell ref="AL20:AM20"/>
    <mergeCell ref="AK30:AU31"/>
    <mergeCell ref="AO20:AP20"/>
    <mergeCell ref="AH10:AH18"/>
    <mergeCell ref="AI10:AK10"/>
    <mergeCell ref="AM10:AQ10"/>
    <mergeCell ref="C136:G136"/>
    <mergeCell ref="AV20:AW20"/>
    <mergeCell ref="AO21:AR21"/>
    <mergeCell ref="AU21:AY21"/>
    <mergeCell ref="AT15:AV15"/>
    <mergeCell ref="AT16:AV16"/>
    <mergeCell ref="AT10:AW10"/>
    <mergeCell ref="R110:U110"/>
    <mergeCell ref="V110:Y110"/>
    <mergeCell ref="Z110:AC110"/>
    <mergeCell ref="AI2:AY2"/>
    <mergeCell ref="AW19:AX19"/>
    <mergeCell ref="AW12:AY12"/>
    <mergeCell ref="AM3:AQ3"/>
    <mergeCell ref="AW8:AX8"/>
    <mergeCell ref="AI11:AK11"/>
    <mergeCell ref="AI5:AK5"/>
    <mergeCell ref="AI8:AK8"/>
    <mergeCell ref="AR3:AS3"/>
    <mergeCell ref="AQ4:AR4"/>
    <mergeCell ref="AN6:AQ6"/>
    <mergeCell ref="AP8:AR8"/>
    <mergeCell ref="AI4:AK4"/>
    <mergeCell ref="AL8:AN8"/>
    <mergeCell ref="AI3:AL3"/>
    <mergeCell ref="AI6:AK6"/>
    <mergeCell ref="AI7:AK7"/>
    <mergeCell ref="AU8:AV8"/>
    <mergeCell ref="AT11:AV11"/>
    <mergeCell ref="AO18:AS18"/>
    <mergeCell ref="AI21:AJ21"/>
    <mergeCell ref="AM21:AN21"/>
    <mergeCell ref="AS21:AT21"/>
    <mergeCell ref="AT13:AV13"/>
    <mergeCell ref="AT14:AV14"/>
    <mergeCell ref="AO12:AS12"/>
    <mergeCell ref="AT12:AV12"/>
    <mergeCell ref="AM9:AQ9"/>
    <mergeCell ref="AT9:AW9"/>
    <mergeCell ref="AR20:AS20"/>
    <mergeCell ref="AW15:AX15"/>
    <mergeCell ref="AW13:AX13"/>
    <mergeCell ref="AW14:AX14"/>
    <mergeCell ref="AT20:AU20"/>
    <mergeCell ref="AW18:AX18"/>
    <mergeCell ref="AW16:AX16"/>
    <mergeCell ref="AI9:AK9"/>
    <mergeCell ref="AW17:AX17"/>
    <mergeCell ref="BG6:BJ9"/>
    <mergeCell ref="BG2:BJ5"/>
    <mergeCell ref="AI12:AM12"/>
    <mergeCell ref="AO19:AS19"/>
    <mergeCell ref="AW11:AX11"/>
    <mergeCell ref="AS4:AU4"/>
    <mergeCell ref="AV4:AW4"/>
    <mergeCell ref="AX4:AY4"/>
  </mergeCells>
  <dataValidations count="8">
    <dataValidation type="whole" allowBlank="1" showInputMessage="1" showErrorMessage="1" promptTitle="Warning" prompt="Dont enter above Rs:150000/-" sqref="AT12:AV12">
      <formula1>0</formula1>
      <formula2>150000</formula2>
    </dataValidation>
    <dataValidation type="whole" allowBlank="1" showInputMessage="1" showErrorMessage="1" promptTitle="www.apteacher.net" prompt="Sould not exceed Rs:20000/-" sqref="AN12">
      <formula1>0</formula1>
      <formula2>20000</formula2>
    </dataValidation>
    <dataValidation type="whole" allowBlank="1" showInputMessage="1" showErrorMessage="1" promptTitle="Medical Treatment" prompt="Medical Treatment U/s 80 DDB upto Rs:40000/-(or Rs:60000/- including that dependent senior citizens[Enlose form 10-I]" sqref="AT18:AV18">
      <formula1>0</formula1>
      <formula2>60000</formula2>
    </dataValidation>
    <dataValidation allowBlank="1" showInputMessage="1" showErrorMessage="1" promptTitle="Hadicaped Dependent:" prompt="Deduction in respect of deposit made or maintenance and expenditure for treatment of Handicapped dependent U/s 80DD upto Rs 50000/-(for severe disablity upto Rs:100000/-)&#10;" sqref="AT19:AV19"/>
    <dataValidation type="whole" allowBlank="1" showInputMessage="1" showErrorMessage="1" promptTitle="Tution fee concession" prompt="Only upto Rs:2000/- " sqref="AY11">
      <formula1>0</formula1>
      <formula2>2000</formula2>
    </dataValidation>
    <dataValidation allowBlank="1" showInputMessage="1" showErrorMessage="1" promptTitle="www.apteacher.net" prompt="AAS arreas before February-2011" sqref="AI20:AJ20"/>
    <dataValidation allowBlank="1" showInputMessage="1" showErrorMessage="1" promptTitle="Adjusted PF/CSS" prompt="Adjusted PF/CSS" sqref="AV20:AW20"/>
    <dataValidation allowBlank="1" showInputMessage="1" showErrorMessage="1" promptTitle="www.apteacher.net" prompt="Arrears if any" sqref="AO20:AP20 AR20:AS20"/>
  </dataValidations>
  <printOptions/>
  <pageMargins left="0.7" right="0.7" top="0.75" bottom="0.75" header="0.3" footer="0.3"/>
  <pageSetup horizontalDpi="600" verticalDpi="600" orientation="portrait" paperSize="9" r:id="rId3"/>
  <ignoredErrors>
    <ignoredError sqref="R73" emptyCellReferenc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29"/>
  <sheetViews>
    <sheetView showGridLines="0" showRowColHeaders="0" zoomScale="140" zoomScaleNormal="140" workbookViewId="0" topLeftCell="M1">
      <selection activeCell="A1" sqref="A1:R1"/>
    </sheetView>
  </sheetViews>
  <sheetFormatPr defaultColWidth="9.140625" defaultRowHeight="15"/>
  <cols>
    <col min="1" max="1" width="4.8515625" style="0" customWidth="1"/>
    <col min="2" max="2" width="11.8515625" style="0" customWidth="1"/>
    <col min="3" max="3" width="9.28125" style="0" customWidth="1"/>
    <col min="4" max="5" width="9.8515625" style="0" customWidth="1"/>
    <col min="6" max="6" width="8.57421875" style="0" customWidth="1"/>
    <col min="7" max="7" width="9.421875" style="0" customWidth="1"/>
    <col min="8" max="10" width="8.57421875" style="0" customWidth="1"/>
    <col min="11" max="11" width="8.421875" style="0" customWidth="1"/>
    <col min="12" max="12" width="10.00390625" style="0" customWidth="1"/>
    <col min="14" max="14" width="9.28125" style="0" customWidth="1"/>
    <col min="15" max="15" width="8.140625" style="0" customWidth="1"/>
    <col min="16" max="16" width="8.00390625" style="0" customWidth="1"/>
    <col min="17" max="17" width="8.57421875" style="0" customWidth="1"/>
  </cols>
  <sheetData>
    <row r="1" spans="1:18" ht="15.75">
      <c r="A1" s="494" t="str">
        <f>"Salary Particulars of   "&amp;DATA!AM3&amp;", "&amp;DATA!AW3&amp;", "&amp;DATA!AL4&amp;", "&amp;DATA!AS4&amp;" Mandal"</f>
        <v>Salary Particulars of   S.Malathi, S.A(MM), MPPS,MD Mangalam, GD Nellore  Mandal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9.75" customHeight="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40.5">
      <c r="A3" s="385" t="s">
        <v>20</v>
      </c>
      <c r="B3" s="385" t="s">
        <v>11</v>
      </c>
      <c r="C3" s="385" t="s">
        <v>21</v>
      </c>
      <c r="D3" s="385" t="s">
        <v>17</v>
      </c>
      <c r="E3" s="385" t="s">
        <v>12</v>
      </c>
      <c r="F3" s="385" t="s">
        <v>22</v>
      </c>
      <c r="G3" s="385" t="s">
        <v>23</v>
      </c>
      <c r="H3" s="385" t="s">
        <v>24</v>
      </c>
      <c r="I3" s="385" t="s">
        <v>25</v>
      </c>
      <c r="J3" s="385" t="s">
        <v>26</v>
      </c>
      <c r="K3" s="385" t="s">
        <v>27</v>
      </c>
      <c r="L3" s="385" t="s">
        <v>28</v>
      </c>
      <c r="M3" s="385" t="str">
        <f>IF(DATA!$Q$73=3,"CPS",IF(DATA!$Q$73=2,"GPS","ZPPPF"))</f>
        <v>CPS</v>
      </c>
      <c r="N3" s="385" t="s">
        <v>29</v>
      </c>
      <c r="O3" s="385" t="s">
        <v>30</v>
      </c>
      <c r="P3" s="385" t="s">
        <v>31</v>
      </c>
      <c r="Q3" s="385" t="s">
        <v>32</v>
      </c>
      <c r="R3" s="385" t="s">
        <v>33</v>
      </c>
    </row>
    <row r="4" spans="1:18" ht="15">
      <c r="A4" s="43">
        <v>1</v>
      </c>
      <c r="B4" s="44">
        <v>40969</v>
      </c>
      <c r="C4" s="43">
        <f>DATA!P36</f>
        <v>18520</v>
      </c>
      <c r="D4" s="43">
        <f>ROUND(C4*35.952/100,0.1)</f>
        <v>6658</v>
      </c>
      <c r="E4" s="43">
        <f>ROUND(C4*DATA!F70%,0)</f>
        <v>2685</v>
      </c>
      <c r="F4" s="43">
        <f>DATA!$AT$5</f>
        <v>75</v>
      </c>
      <c r="G4" s="43">
        <f>DATA!$AN$5</f>
        <v>80</v>
      </c>
      <c r="H4" s="43">
        <f>DATA!$AP$5</f>
        <v>70</v>
      </c>
      <c r="I4" s="43">
        <f>DATA!$AR$5</f>
        <v>0</v>
      </c>
      <c r="J4" s="43">
        <f>DATA!$AX$5</f>
        <v>0</v>
      </c>
      <c r="K4" s="45">
        <f>IF(AND(DATA!$O$73=1,ROUND('Salary Details'!C4*10%,0)&lt;900),ROUND('Salary Details'!C4*10%,0),IF(AND(DATA!$O$73=1,ROUND('Salary Details'!C4*10%,0)&gt;=900),900,0))</f>
        <v>0</v>
      </c>
      <c r="L4" s="43">
        <f>SUM(C4:K4)</f>
        <v>28088</v>
      </c>
      <c r="M4" s="43">
        <f>IF(DATA!$Q$73=3,ROUND(('Salary Details'!C4+'Salary Details'!D4)*10%,0),DATA!S36)</f>
        <v>2518</v>
      </c>
      <c r="N4" s="43">
        <f>DATA!T36</f>
        <v>450</v>
      </c>
      <c r="O4" s="43">
        <f>DATA!U36</f>
        <v>30</v>
      </c>
      <c r="P4" s="46">
        <f>IF(DATA!$O$73=1,0,IF(AND(L4&gt;5000,L4&lt;=6000),60,IF(AND(L4&gt;6000,L4&lt;=10000),80,IF(AND(L4&gt;10000,L4&lt;=15000),100,IF(AND(L4&gt;15000,L4&lt;=20000),150,IF(AND(L4&gt;20000),200))))))</f>
        <v>200</v>
      </c>
      <c r="Q4" s="43">
        <f>DATA!AP11</f>
        <v>20</v>
      </c>
      <c r="R4" s="43">
        <f aca="true" t="shared" si="0" ref="R4:R22">SUM(M4:Q4)</f>
        <v>3218</v>
      </c>
    </row>
    <row r="5" spans="1:18" ht="15">
      <c r="A5" s="43">
        <v>2</v>
      </c>
      <c r="B5" s="44">
        <v>41000</v>
      </c>
      <c r="C5" s="43">
        <f>DATA!P37</f>
        <v>18520</v>
      </c>
      <c r="D5" s="43">
        <f>ROUND(C5*35.952/100,0.1)</f>
        <v>6658</v>
      </c>
      <c r="E5" s="43">
        <f>ROUND(C5*DATA!Q37%,0)</f>
        <v>2685</v>
      </c>
      <c r="F5" s="43">
        <f>DATA!$AT$5</f>
        <v>75</v>
      </c>
      <c r="G5" s="43">
        <f>DATA!$AN$5</f>
        <v>80</v>
      </c>
      <c r="H5" s="43">
        <f>DATA!$AP$5</f>
        <v>70</v>
      </c>
      <c r="I5" s="43">
        <f>DATA!$AR$5</f>
        <v>0</v>
      </c>
      <c r="J5" s="43">
        <f>DATA!$AX$5</f>
        <v>0</v>
      </c>
      <c r="K5" s="45">
        <f>IF(DATA!$O$73=2,0,IF(DATA!I51=2,K4,690))</f>
        <v>0</v>
      </c>
      <c r="L5" s="43">
        <f aca="true" t="shared" si="1" ref="L5:L14">SUM(C5:K5)</f>
        <v>28088</v>
      </c>
      <c r="M5" s="43">
        <f>IF(DATA!$Q$73=3,ROUND(('Salary Details'!C5+'Salary Details'!D5)*10%,0),DATA!S37)</f>
        <v>2518</v>
      </c>
      <c r="N5" s="43">
        <f>DATA!T37</f>
        <v>450</v>
      </c>
      <c r="O5" s="43">
        <f>DATA!U37</f>
        <v>30</v>
      </c>
      <c r="P5" s="46">
        <f>IF(DATA!$O$73=1,0,IF(AND(L5&gt;5000,L5&lt;=6000),60,IF(AND(L5&gt;6000,L5&lt;=10000),80,IF(AND(L5&gt;10000,L5&lt;=15000),100,IF(AND(L5&gt;15000,L5&lt;=20000),150,IF(AND(L5&gt;20000),200))))))</f>
        <v>200</v>
      </c>
      <c r="Q5" s="43">
        <v>0</v>
      </c>
      <c r="R5" s="43">
        <f t="shared" si="0"/>
        <v>3198</v>
      </c>
    </row>
    <row r="6" spans="1:18" ht="15">
      <c r="A6" s="43">
        <v>3</v>
      </c>
      <c r="B6" s="44">
        <v>41030</v>
      </c>
      <c r="C6" s="43">
        <f>DATA!P38</f>
        <v>19050</v>
      </c>
      <c r="D6" s="43">
        <f aca="true" t="shared" si="2" ref="D6:D11">ROUND(C6*41.944/100,0.1)</f>
        <v>7990</v>
      </c>
      <c r="E6" s="43">
        <f>ROUND(C6*DATA!Q38%,0)</f>
        <v>2762</v>
      </c>
      <c r="F6" s="43">
        <f>DATA!$AT$5</f>
        <v>75</v>
      </c>
      <c r="G6" s="43">
        <f>DATA!$AN$5</f>
        <v>80</v>
      </c>
      <c r="H6" s="43">
        <f>DATA!$AP$5</f>
        <v>70</v>
      </c>
      <c r="I6" s="43">
        <f>DATA!$AR$5</f>
        <v>0</v>
      </c>
      <c r="J6" s="43">
        <f>DATA!$AX$5</f>
        <v>0</v>
      </c>
      <c r="K6" s="45">
        <f>IF(DATA!I51=2,K4,0)</f>
        <v>0</v>
      </c>
      <c r="L6" s="43">
        <f t="shared" si="1"/>
        <v>30027</v>
      </c>
      <c r="M6" s="43">
        <f>IF(DATA!$Q$73=3,ROUND(('Salary Details'!C6+'Salary Details'!D6)*10%,0),DATA!S38)</f>
        <v>2704</v>
      </c>
      <c r="N6" s="43">
        <f>DATA!T38</f>
        <v>450</v>
      </c>
      <c r="O6" s="43">
        <f>DATA!U38</f>
        <v>30</v>
      </c>
      <c r="P6" s="46">
        <f>IF(DATA!$O$73=1,0,IF(AND(L6&gt;5000,L6&lt;=6000),60,IF(AND(L6&gt;6000,L6&lt;=10000),80,IF(AND(L6&gt;10000,L6&lt;=15000),100,IF(AND(L6&gt;15000,L6&lt;=20000),150,IF(AND(L6&gt;20000),200))))))</f>
        <v>200</v>
      </c>
      <c r="Q6" s="43">
        <v>0</v>
      </c>
      <c r="R6" s="43">
        <f t="shared" si="0"/>
        <v>3384</v>
      </c>
    </row>
    <row r="7" spans="1:18" ht="15">
      <c r="A7" s="43">
        <v>4</v>
      </c>
      <c r="B7" s="44">
        <v>41061</v>
      </c>
      <c r="C7" s="43">
        <f>DATA!P39</f>
        <v>19050</v>
      </c>
      <c r="D7" s="43">
        <f t="shared" si="2"/>
        <v>7990</v>
      </c>
      <c r="E7" s="43">
        <f>ROUND(C7*DATA!Q39%,0)</f>
        <v>2762</v>
      </c>
      <c r="F7" s="43">
        <f>DATA!$AT$5</f>
        <v>75</v>
      </c>
      <c r="G7" s="43">
        <f>DATA!$AN$5</f>
        <v>80</v>
      </c>
      <c r="H7" s="43">
        <f>DATA!$AP$5</f>
        <v>70</v>
      </c>
      <c r="I7" s="43">
        <f>DATA!$AR$5</f>
        <v>0</v>
      </c>
      <c r="J7" s="43">
        <f>DATA!$AX$5</f>
        <v>0</v>
      </c>
      <c r="K7" s="45">
        <f>IF(DATA!$O$73=2,0,IF(DATA!I51=2,K4,570))</f>
        <v>0</v>
      </c>
      <c r="L7" s="43">
        <f t="shared" si="1"/>
        <v>30027</v>
      </c>
      <c r="M7" s="43">
        <f>IF(DATA!$Q$73=3,ROUND(('Salary Details'!C7+'Salary Details'!D7)*10%,0),DATA!S39)</f>
        <v>2704</v>
      </c>
      <c r="N7" s="43">
        <f>DATA!T39</f>
        <v>450</v>
      </c>
      <c r="O7" s="43">
        <f>DATA!U39</f>
        <v>30</v>
      </c>
      <c r="P7" s="46">
        <f>IF(DATA!$O$73=1,0,IF(AND(L7&gt;5000,L7&lt;=6000),60,IF(AND(L7&gt;6000,L7&lt;=10000),80,IF(AND(L7&gt;10000,L7&lt;=15000),100,IF(AND(L7&gt;15000,L7&lt;=20000),150,IF(AND(L7&gt;20000),200))))))</f>
        <v>200</v>
      </c>
      <c r="Q7" s="43">
        <v>0</v>
      </c>
      <c r="R7" s="43">
        <f t="shared" si="0"/>
        <v>3384</v>
      </c>
    </row>
    <row r="8" spans="1:18" ht="15">
      <c r="A8" s="43">
        <v>5</v>
      </c>
      <c r="B8" s="44">
        <v>41091</v>
      </c>
      <c r="C8" s="43">
        <f>DATA!P40</f>
        <v>19050</v>
      </c>
      <c r="D8" s="43">
        <f t="shared" si="2"/>
        <v>7990</v>
      </c>
      <c r="E8" s="43">
        <f>ROUND(C8*DATA!Q40%,0)</f>
        <v>2762</v>
      </c>
      <c r="F8" s="43">
        <f>DATA!$AT$5</f>
        <v>75</v>
      </c>
      <c r="G8" s="43">
        <f>DATA!$AN$5</f>
        <v>80</v>
      </c>
      <c r="H8" s="43">
        <f>DATA!$AP$5</f>
        <v>70</v>
      </c>
      <c r="I8" s="43">
        <f>DATA!$AR$5</f>
        <v>0</v>
      </c>
      <c r="J8" s="43">
        <f>DATA!$AX$5</f>
        <v>0</v>
      </c>
      <c r="K8" s="45">
        <f>IF(AND(DATA!$O$73=1,ROUND('Salary Details'!C8*10%,0)&lt;900),ROUND('Salary Details'!C8*10%,0),IF(AND(DATA!$O$73=1,ROUND('Salary Details'!C8*10%,0)&gt;=900),900,0))</f>
        <v>0</v>
      </c>
      <c r="L8" s="43">
        <f t="shared" si="1"/>
        <v>30027</v>
      </c>
      <c r="M8" s="43">
        <f>IF(DATA!$Q$73=3,ROUND(('Salary Details'!C8+'Salary Details'!D8)*10%,0),DATA!S40)</f>
        <v>2704</v>
      </c>
      <c r="N8" s="43">
        <f>DATA!T40</f>
        <v>450</v>
      </c>
      <c r="O8" s="43">
        <f>DATA!U40</f>
        <v>30</v>
      </c>
      <c r="P8" s="46">
        <f>IF(DATA!$O$73=1,0,IF(AND(L8&gt;5000,L8&lt;=6000),60,IF(AND(L8&gt;6000,L8&lt;=10000),80,IF(AND(L8&gt;10000,L8&lt;=15000),100,IF(AND(L8&gt;15000,L8&lt;=20000),150,IF(AND(L8&gt;20000),200))))))</f>
        <v>200</v>
      </c>
      <c r="Q8" s="43">
        <v>0</v>
      </c>
      <c r="R8" s="43">
        <f t="shared" si="0"/>
        <v>3384</v>
      </c>
    </row>
    <row r="9" spans="1:18" ht="15">
      <c r="A9" s="43">
        <v>6</v>
      </c>
      <c r="B9" s="44">
        <v>41122</v>
      </c>
      <c r="C9" s="43">
        <f>DATA!P41</f>
        <v>19580</v>
      </c>
      <c r="D9" s="43">
        <f t="shared" si="2"/>
        <v>8213</v>
      </c>
      <c r="E9" s="43">
        <f>ROUND(C9*DATA!Q41%,0)</f>
        <v>2839</v>
      </c>
      <c r="F9" s="43">
        <f>DATA!$AT$5</f>
        <v>75</v>
      </c>
      <c r="G9" s="43">
        <f>DATA!$AN$5</f>
        <v>80</v>
      </c>
      <c r="H9" s="43">
        <f>DATA!$AP$5</f>
        <v>70</v>
      </c>
      <c r="I9" s="43">
        <f>DATA!$AR$5</f>
        <v>0</v>
      </c>
      <c r="J9" s="43">
        <f>DATA!$AX$5</f>
        <v>0</v>
      </c>
      <c r="K9" s="45">
        <f>IF(AND(DATA!$O$73=1,ROUND('Salary Details'!C9*10%,0)&lt;900),ROUND('Salary Details'!C9*10%,0),IF(AND(DATA!$O$73=1,ROUND('Salary Details'!C9*10%,0)&gt;=900),900,0))</f>
        <v>0</v>
      </c>
      <c r="L9" s="43">
        <f t="shared" si="1"/>
        <v>30857</v>
      </c>
      <c r="M9" s="43">
        <f>IF(DATA!$Q$73=3,ROUND(('Salary Details'!C9+'Salary Details'!D9)*10%,0),DATA!S41)</f>
        <v>2779</v>
      </c>
      <c r="N9" s="43">
        <f>DATA!T41</f>
        <v>450</v>
      </c>
      <c r="O9" s="43">
        <f>DATA!U41</f>
        <v>30</v>
      </c>
      <c r="P9" s="46">
        <f>IF(DATA!$O$73=1,0,IF(AND(L9&gt;5000,L9&lt;=6000),60,IF(AND(L9&gt;6000,L9&lt;=10000),80,IF(AND(L9&gt;10000,L9&lt;=15000),100,IF(AND(L9&gt;15000,L9&lt;=20000),150,IF(AND(L9&gt;20000),200))))))</f>
        <v>200</v>
      </c>
      <c r="Q9" s="43">
        <v>0</v>
      </c>
      <c r="R9" s="43">
        <f t="shared" si="0"/>
        <v>3459</v>
      </c>
    </row>
    <row r="10" spans="1:18" ht="15">
      <c r="A10" s="43">
        <v>7</v>
      </c>
      <c r="B10" s="44">
        <v>41153</v>
      </c>
      <c r="C10" s="43">
        <f>DATA!P42</f>
        <v>19580</v>
      </c>
      <c r="D10" s="43">
        <f t="shared" si="2"/>
        <v>8213</v>
      </c>
      <c r="E10" s="43">
        <f>ROUND(C10*DATA!Q42%,0)</f>
        <v>2839</v>
      </c>
      <c r="F10" s="43">
        <f>DATA!$AT$5</f>
        <v>75</v>
      </c>
      <c r="G10" s="43">
        <f>DATA!$AN$5</f>
        <v>80</v>
      </c>
      <c r="H10" s="43">
        <f>DATA!$AP$5</f>
        <v>70</v>
      </c>
      <c r="I10" s="43">
        <f>DATA!$AR$5</f>
        <v>0</v>
      </c>
      <c r="J10" s="43">
        <f>DATA!$AX$5</f>
        <v>0</v>
      </c>
      <c r="K10" s="45">
        <f>IF(AND(DATA!$O$73=1,ROUND('Salary Details'!C10*10%,0)&lt;900),ROUND('Salary Details'!C10*10%,0),IF(AND(DATA!$O$73=1,ROUND('Salary Details'!C10*10%,0)&gt;=900),900,0))</f>
        <v>0</v>
      </c>
      <c r="L10" s="43">
        <f t="shared" si="1"/>
        <v>30857</v>
      </c>
      <c r="M10" s="43">
        <f>IF(DATA!$Q$73=3,ROUND(('Salary Details'!C10+'Salary Details'!D10)*10%,0),DATA!S42)</f>
        <v>2779</v>
      </c>
      <c r="N10" s="43">
        <f>DATA!T42</f>
        <v>450</v>
      </c>
      <c r="O10" s="43">
        <f>DATA!U42</f>
        <v>30</v>
      </c>
      <c r="P10" s="46">
        <f>IF(DATA!$O$73=1,0,IF(AND(L10&gt;5000,L10&lt;=6000),60,IF(AND(L10&gt;6000,L10&lt;=10000),80,IF(AND(L10&gt;10000,L10&lt;=15000),100,IF(AND(L10&gt;15000,L10&lt;=20000),150,IF(AND(L10&gt;20000),200))))))</f>
        <v>200</v>
      </c>
      <c r="Q10" s="43">
        <v>0</v>
      </c>
      <c r="R10" s="43">
        <f t="shared" si="0"/>
        <v>3459</v>
      </c>
    </row>
    <row r="11" spans="1:18" ht="15">
      <c r="A11" s="43">
        <v>8</v>
      </c>
      <c r="B11" s="44">
        <v>41183</v>
      </c>
      <c r="C11" s="43">
        <f>DATA!P43</f>
        <v>19580</v>
      </c>
      <c r="D11" s="43">
        <f t="shared" si="2"/>
        <v>8213</v>
      </c>
      <c r="E11" s="43">
        <f>ROUND(C11*DATA!Q43%,0)</f>
        <v>2839</v>
      </c>
      <c r="F11" s="43">
        <f>DATA!$AT$5</f>
        <v>75</v>
      </c>
      <c r="G11" s="43">
        <f>DATA!$AN$5</f>
        <v>80</v>
      </c>
      <c r="H11" s="43">
        <f>DATA!$AP$5</f>
        <v>70</v>
      </c>
      <c r="I11" s="43">
        <f>DATA!$AR$5</f>
        <v>0</v>
      </c>
      <c r="J11" s="43">
        <f>DATA!$AX$5</f>
        <v>0</v>
      </c>
      <c r="K11" s="45">
        <f>IF(AND(DATA!$O$73=1,ROUND('Salary Details'!C11*10%,0)&lt;900),ROUND('Salary Details'!C11*10%,0),IF(AND(DATA!$O$73=1,ROUND('Salary Details'!C11*10%,0)&gt;=900),900,0))</f>
        <v>0</v>
      </c>
      <c r="L11" s="43">
        <f t="shared" si="1"/>
        <v>30857</v>
      </c>
      <c r="M11" s="43">
        <f>IF(DATA!$Q$73=3,ROUND(('Salary Details'!C11+'Salary Details'!D11)*10%,0),DATA!S43)</f>
        <v>2779</v>
      </c>
      <c r="N11" s="43">
        <f>DATA!T43</f>
        <v>450</v>
      </c>
      <c r="O11" s="43">
        <f>DATA!U43</f>
        <v>30</v>
      </c>
      <c r="P11" s="46">
        <f>IF(DATA!$O$73=1,0,IF(AND(L11&gt;5000,L11&lt;=6000),60,IF(AND(L11&gt;6000,L11&lt;=10000),80,IF(AND(L11&gt;10000,L11&lt;=15000),100,IF(AND(L11&gt;15000,L11&lt;=20000),150,IF(AND(L11&gt;20000),200))))))</f>
        <v>200</v>
      </c>
      <c r="Q11" s="43">
        <v>0</v>
      </c>
      <c r="R11" s="43">
        <f t="shared" si="0"/>
        <v>3459</v>
      </c>
    </row>
    <row r="12" spans="1:18" ht="15">
      <c r="A12" s="43">
        <v>9</v>
      </c>
      <c r="B12" s="44">
        <v>41214</v>
      </c>
      <c r="C12" s="43">
        <f>DATA!P44</f>
        <v>19580</v>
      </c>
      <c r="D12" s="43">
        <f>ROUND(C12*47.936/100,0.1)</f>
        <v>9386</v>
      </c>
      <c r="E12" s="43">
        <f>ROUND(C12*DATA!Q44%,0)</f>
        <v>2839</v>
      </c>
      <c r="F12" s="43">
        <f>DATA!$AT$5</f>
        <v>75</v>
      </c>
      <c r="G12" s="43">
        <f>DATA!$AN$5</f>
        <v>80</v>
      </c>
      <c r="H12" s="43">
        <f>DATA!$AP$5</f>
        <v>70</v>
      </c>
      <c r="I12" s="43">
        <f>DATA!$AR$5</f>
        <v>0</v>
      </c>
      <c r="J12" s="43">
        <f>DATA!$AX$5</f>
        <v>0</v>
      </c>
      <c r="K12" s="45">
        <f>IF(AND(DATA!$O$73=1,ROUND('Salary Details'!C12*10%,0)&lt;900),ROUND('Salary Details'!C12*10%,0),IF(AND(DATA!$O$73=1,ROUND('Salary Details'!C12*10%,0)&gt;=900),900,0))</f>
        <v>0</v>
      </c>
      <c r="L12" s="43">
        <f t="shared" si="1"/>
        <v>32030</v>
      </c>
      <c r="M12" s="43">
        <f>IF(DATA!$Q$73=3,ROUND(('Salary Details'!C12+'Salary Details'!D12)*10%,0),DATA!S44)</f>
        <v>2897</v>
      </c>
      <c r="N12" s="43">
        <f>DATA!T44</f>
        <v>450</v>
      </c>
      <c r="O12" s="43">
        <f>DATA!U44</f>
        <v>30</v>
      </c>
      <c r="P12" s="46">
        <f>IF(DATA!$O$73=1,0,IF(AND(L12&gt;5000,L12&lt;=6000),60,IF(AND(L12&gt;6000,L12&lt;=10000),80,IF(AND(L12&gt;10000,L12&lt;=15000),100,IF(AND(L12&gt;15000,L12&lt;=20000),150,IF(AND(L12&gt;20000),200))))))</f>
        <v>200</v>
      </c>
      <c r="Q12" s="43">
        <v>0</v>
      </c>
      <c r="R12" s="43">
        <f t="shared" si="0"/>
        <v>3577</v>
      </c>
    </row>
    <row r="13" spans="1:24" ht="15">
      <c r="A13" s="43">
        <v>10</v>
      </c>
      <c r="B13" s="44">
        <v>41244</v>
      </c>
      <c r="C13" s="43">
        <f>DATA!P45</f>
        <v>19580</v>
      </c>
      <c r="D13" s="43">
        <f>ROUND(C13*47.936/100,0.1)</f>
        <v>9386</v>
      </c>
      <c r="E13" s="43">
        <f>ROUND(C13*DATA!Q45%,0)</f>
        <v>2839</v>
      </c>
      <c r="F13" s="43">
        <f>DATA!$AT$5</f>
        <v>75</v>
      </c>
      <c r="G13" s="43">
        <f>DATA!$AN$5</f>
        <v>80</v>
      </c>
      <c r="H13" s="43">
        <f>DATA!$AP$5</f>
        <v>70</v>
      </c>
      <c r="I13" s="43">
        <f>DATA!$AR$5</f>
        <v>0</v>
      </c>
      <c r="J13" s="43">
        <f>DATA!$AX$5</f>
        <v>0</v>
      </c>
      <c r="K13" s="45">
        <f>IF(AND(DATA!$O$73=1,ROUND('Salary Details'!C13*10%,0)&lt;900),ROUND('Salary Details'!C13*10%,0),IF(AND(DATA!$O$73=1,ROUND('Salary Details'!C13*10%,0)&gt;=900),900,0))</f>
        <v>0</v>
      </c>
      <c r="L13" s="43">
        <f t="shared" si="1"/>
        <v>32030</v>
      </c>
      <c r="M13" s="43">
        <f>IF(DATA!$Q$73=3,ROUND(('Salary Details'!C13+'Salary Details'!D13)*10%,0),DATA!S45)</f>
        <v>2897</v>
      </c>
      <c r="N13" s="43">
        <f>DATA!T45</f>
        <v>450</v>
      </c>
      <c r="O13" s="43">
        <f>DATA!U45</f>
        <v>30</v>
      </c>
      <c r="P13" s="46">
        <f>IF(DATA!$O$73=1,0,IF(AND(L13&gt;5000,L13&lt;=6000),60,IF(AND(L13&gt;6000,L13&lt;=10000),80,IF(AND(L13&gt;10000,L13&lt;=15000),100,IF(AND(L13&gt;15000,L13&lt;=20000),150,IF(AND(L13&gt;20000),200))))))</f>
        <v>200</v>
      </c>
      <c r="Q13" s="43">
        <f>DATA!AR11</f>
        <v>20</v>
      </c>
      <c r="R13" s="43">
        <f t="shared" si="0"/>
        <v>3597</v>
      </c>
      <c r="X13">
        <f>IF(AND(DATA!$O$73=1,ROUND('Salary Details'!C4*10%,0)&lt;900),ROUND('Salary Details'!C4*10%,0),IF(AND(DATA!$O$73=1,ROUND('Salary Details'!C4*10%,0)&gt;=900),900,0))</f>
        <v>0</v>
      </c>
    </row>
    <row r="14" spans="1:18" ht="15">
      <c r="A14" s="43">
        <v>11</v>
      </c>
      <c r="B14" s="44">
        <v>41275</v>
      </c>
      <c r="C14" s="43">
        <f>DATA!P46</f>
        <v>19580</v>
      </c>
      <c r="D14" s="43">
        <f>ROUND(C14*47.936/100,0.1)</f>
        <v>9386</v>
      </c>
      <c r="E14" s="43">
        <f>ROUND(C14*DATA!Q46%,0)</f>
        <v>2839</v>
      </c>
      <c r="F14" s="43">
        <f>DATA!$AT$5</f>
        <v>75</v>
      </c>
      <c r="G14" s="43">
        <f>DATA!$AN$5</f>
        <v>80</v>
      </c>
      <c r="H14" s="43">
        <f>DATA!$AP$5</f>
        <v>70</v>
      </c>
      <c r="I14" s="43">
        <f>DATA!$AR$5</f>
        <v>0</v>
      </c>
      <c r="J14" s="43">
        <f>DATA!$AX$5</f>
        <v>0</v>
      </c>
      <c r="K14" s="45">
        <f>IF(AND(DATA!$O$73=1,ROUND('Salary Details'!C14*10%,0)&lt;900),ROUND('Salary Details'!C14*10%,0),IF(AND(DATA!$O$73=1,ROUND('Salary Details'!C14*10%,0)&gt;=900),900,0))</f>
        <v>0</v>
      </c>
      <c r="L14" s="43">
        <f t="shared" si="1"/>
        <v>32030</v>
      </c>
      <c r="M14" s="43">
        <f>IF(DATA!$Q$73=3,ROUND(('Salary Details'!C14+'Salary Details'!D14)*10%,0),DATA!S46)</f>
        <v>2897</v>
      </c>
      <c r="N14" s="43">
        <f>DATA!T46</f>
        <v>450</v>
      </c>
      <c r="O14" s="43">
        <f>DATA!U46</f>
        <v>30</v>
      </c>
      <c r="P14" s="46">
        <f>IF(DATA!$O$73=1,0,IF(AND(L14&gt;5000,L14&lt;=6000),60,IF(AND(L14&gt;6000,L14&lt;=10000),80,IF(AND(L14&gt;10000,L14&lt;=15000),100,IF(AND(L14&gt;15000,L14&lt;=20000),150,IF(AND(L14&gt;20000),200))))))</f>
        <v>200</v>
      </c>
      <c r="Q14" s="43">
        <v>0</v>
      </c>
      <c r="R14" s="43">
        <f t="shared" si="0"/>
        <v>3577</v>
      </c>
    </row>
    <row r="15" spans="1:18" ht="15">
      <c r="A15" s="43">
        <v>12</v>
      </c>
      <c r="B15" s="44">
        <v>41306</v>
      </c>
      <c r="C15" s="43">
        <f>DATA!P47</f>
        <v>19580</v>
      </c>
      <c r="D15" s="43">
        <f>ROUND(C15*47.936/100,0.1)</f>
        <v>9386</v>
      </c>
      <c r="E15" s="43">
        <f>ROUND(C15*DATA!Q47%,0)</f>
        <v>2839</v>
      </c>
      <c r="F15" s="43">
        <f>DATA!$AT$5</f>
        <v>75</v>
      </c>
      <c r="G15" s="43">
        <f>DATA!$AN$5</f>
        <v>80</v>
      </c>
      <c r="H15" s="43">
        <f>DATA!$AP$5</f>
        <v>70</v>
      </c>
      <c r="I15" s="43">
        <f>DATA!$AR$5</f>
        <v>0</v>
      </c>
      <c r="J15" s="43">
        <f>DATA!$AX$5</f>
        <v>0</v>
      </c>
      <c r="K15" s="45">
        <f>IF(AND(DATA!$O$73=1,ROUND('Salary Details'!C15*10%,0)&lt;900),ROUND('Salary Details'!C15*10%,0),IF(AND(DATA!$O$73=1,ROUND('Salary Details'!C15*10%,0)&gt;=900),900,0))</f>
        <v>0</v>
      </c>
      <c r="L15" s="43">
        <f aca="true" t="shared" si="3" ref="L15:L22">SUM(C15:K15)</f>
        <v>32030</v>
      </c>
      <c r="M15" s="43">
        <f>IF(DATA!$Q$73=3,ROUND(('Salary Details'!C15+'Salary Details'!D15)*10%,0),DATA!S47)</f>
        <v>2897</v>
      </c>
      <c r="N15" s="43">
        <f>DATA!T47</f>
        <v>450</v>
      </c>
      <c r="O15" s="43">
        <f>DATA!U47</f>
        <v>30</v>
      </c>
      <c r="P15" s="46">
        <f>IF(DATA!$O$73=1,0,IF(AND(L15&gt;5000,L15&lt;=6000),60,IF(AND(L15&gt;6000,L15&lt;=10000),80,IF(AND(L15&gt;10000,L15&lt;=15000),100,IF(AND(L15&gt;15000,L15&lt;=20000),150,IF(AND(L15&gt;20000),200))))))</f>
        <v>200</v>
      </c>
      <c r="Q15" s="43">
        <v>0</v>
      </c>
      <c r="R15" s="43">
        <f t="shared" si="0"/>
        <v>3577</v>
      </c>
    </row>
    <row r="16" spans="1:18" ht="40.5">
      <c r="A16" s="43">
        <v>13</v>
      </c>
      <c r="B16" s="388" t="str">
        <f>CONCATENATE("Surrender leave  ",DATA!C108)</f>
        <v>Surrender leave  30 Days - Nov,12</v>
      </c>
      <c r="C16" s="43">
        <f>DATA!E108</f>
        <v>19580</v>
      </c>
      <c r="D16" s="43">
        <f>DATA!F108</f>
        <v>9386</v>
      </c>
      <c r="E16" s="43">
        <f>DATA!G108</f>
        <v>2839</v>
      </c>
      <c r="F16" s="43">
        <v>0</v>
      </c>
      <c r="G16" s="43">
        <f>IF(E16=0,0,ROUND(G15/2,0))</f>
        <v>40</v>
      </c>
      <c r="H16" s="43">
        <f>IF(E16=0,0,ROUND(H15/2,0))</f>
        <v>35</v>
      </c>
      <c r="I16" s="43">
        <v>0</v>
      </c>
      <c r="J16" s="43">
        <v>0</v>
      </c>
      <c r="K16" s="43">
        <v>0</v>
      </c>
      <c r="L16" s="43">
        <f t="shared" si="3"/>
        <v>31880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f t="shared" si="0"/>
        <v>0</v>
      </c>
    </row>
    <row r="17" spans="1:18" ht="22.5" customHeight="1">
      <c r="A17" s="43">
        <v>14</v>
      </c>
      <c r="B17" s="47" t="s">
        <v>374</v>
      </c>
      <c r="C17" s="42">
        <f>DATA!AL20</f>
        <v>0</v>
      </c>
      <c r="D17" s="42">
        <f>DATA!AO20</f>
        <v>0</v>
      </c>
      <c r="E17" s="42">
        <f>DATA!AR20</f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f t="shared" si="3"/>
        <v>0</v>
      </c>
      <c r="M17" s="48">
        <f>DATA!AV20</f>
        <v>0</v>
      </c>
      <c r="N17" s="43">
        <v>0</v>
      </c>
      <c r="O17" s="43">
        <v>0</v>
      </c>
      <c r="P17" s="43">
        <f>DATA!AY20</f>
        <v>0</v>
      </c>
      <c r="Q17" s="43">
        <v>0</v>
      </c>
      <c r="R17" s="48">
        <f>SUM(M17:Q17)</f>
        <v>0</v>
      </c>
    </row>
    <row r="18" spans="1:18" ht="38.25">
      <c r="A18" s="43">
        <v>15</v>
      </c>
      <c r="B18" s="381" t="s">
        <v>364</v>
      </c>
      <c r="C18" s="49">
        <v>0</v>
      </c>
      <c r="D18" s="48">
        <f>DATA!O95</f>
        <v>4440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f t="shared" si="3"/>
        <v>4440</v>
      </c>
      <c r="M18" s="48">
        <f>L18</f>
        <v>4440</v>
      </c>
      <c r="N18" s="43">
        <v>0</v>
      </c>
      <c r="O18" s="43">
        <v>0</v>
      </c>
      <c r="P18" s="43">
        <v>0</v>
      </c>
      <c r="Q18" s="43">
        <v>0</v>
      </c>
      <c r="R18" s="43">
        <f t="shared" si="0"/>
        <v>4440</v>
      </c>
    </row>
    <row r="19" spans="1:18" ht="25.5">
      <c r="A19" s="43">
        <v>16</v>
      </c>
      <c r="B19" s="381" t="s">
        <v>414</v>
      </c>
      <c r="C19" s="49">
        <v>0</v>
      </c>
      <c r="D19" s="48">
        <f>DATA!O102</f>
        <v>4661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f t="shared" si="3"/>
        <v>4661</v>
      </c>
      <c r="M19" s="48">
        <f>DATA!O102</f>
        <v>4661</v>
      </c>
      <c r="N19" s="43">
        <v>0</v>
      </c>
      <c r="O19" s="43">
        <v>0</v>
      </c>
      <c r="P19" s="43">
        <v>0</v>
      </c>
      <c r="Q19" s="43">
        <v>0</v>
      </c>
      <c r="R19" s="43">
        <f t="shared" si="0"/>
        <v>4661</v>
      </c>
    </row>
    <row r="20" spans="1:18" ht="25.5">
      <c r="A20" s="43">
        <v>17</v>
      </c>
      <c r="B20" s="50" t="str">
        <f>IF(DATA!Q112=2,"AAS Arrear "&amp;DATA!T108,"No AAS Arrears")</f>
        <v>AAS Arrear 17 - 30/4/2012</v>
      </c>
      <c r="C20" s="49">
        <f>DATA!Z113</f>
        <v>247</v>
      </c>
      <c r="D20" s="49">
        <f>DATA!AA113</f>
        <v>104</v>
      </c>
      <c r="E20" s="49">
        <f>DATA!AB113</f>
        <v>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f t="shared" si="3"/>
        <v>387</v>
      </c>
      <c r="M20" s="48">
        <v>0</v>
      </c>
      <c r="N20" s="43">
        <v>0</v>
      </c>
      <c r="O20" s="43">
        <v>0</v>
      </c>
      <c r="P20" s="43">
        <v>0</v>
      </c>
      <c r="Q20" s="43">
        <v>0</v>
      </c>
      <c r="R20" s="43">
        <f t="shared" si="0"/>
        <v>0</v>
      </c>
    </row>
    <row r="21" spans="1:18" ht="25.5">
      <c r="A21" s="43">
        <v>18</v>
      </c>
      <c r="B21" s="51" t="s">
        <v>281</v>
      </c>
      <c r="C21" s="49">
        <v>0</v>
      </c>
      <c r="D21" s="48">
        <v>0</v>
      </c>
      <c r="E21" s="43">
        <v>0</v>
      </c>
      <c r="F21" s="43">
        <v>0</v>
      </c>
      <c r="G21" s="43">
        <v>0</v>
      </c>
      <c r="H21" s="43">
        <v>0</v>
      </c>
      <c r="I21" s="43">
        <f>DATA!AY11</f>
        <v>1000</v>
      </c>
      <c r="J21" s="43">
        <v>0</v>
      </c>
      <c r="K21" s="43">
        <v>0</v>
      </c>
      <c r="L21" s="43">
        <f t="shared" si="3"/>
        <v>1000</v>
      </c>
      <c r="M21" s="48">
        <v>0</v>
      </c>
      <c r="N21" s="43">
        <v>0</v>
      </c>
      <c r="O21" s="43">
        <v>0</v>
      </c>
      <c r="P21" s="43">
        <v>0</v>
      </c>
      <c r="Q21" s="43">
        <v>0</v>
      </c>
      <c r="R21" s="43">
        <f t="shared" si="0"/>
        <v>0</v>
      </c>
    </row>
    <row r="22" spans="1:18" ht="24.75" customHeight="1" hidden="1">
      <c r="A22" s="43">
        <v>18</v>
      </c>
      <c r="B22" s="52" t="s">
        <v>34</v>
      </c>
      <c r="C22" s="42">
        <v>0</v>
      </c>
      <c r="D22" s="48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f t="shared" si="3"/>
        <v>0</v>
      </c>
      <c r="M22" s="48">
        <v>0</v>
      </c>
      <c r="N22" s="43">
        <v>0</v>
      </c>
      <c r="O22" s="43">
        <v>0</v>
      </c>
      <c r="P22" s="43">
        <v>0</v>
      </c>
      <c r="Q22" s="43">
        <v>0</v>
      </c>
      <c r="R22" s="43">
        <f t="shared" si="0"/>
        <v>0</v>
      </c>
    </row>
    <row r="23" spans="1:18" ht="15">
      <c r="A23" s="495" t="s">
        <v>35</v>
      </c>
      <c r="B23" s="496"/>
      <c r="C23" s="386">
        <f>SUM(C4:C22)</f>
        <v>251077</v>
      </c>
      <c r="D23" s="386">
        <f>SUM(D4:D22)</f>
        <v>118060</v>
      </c>
      <c r="E23" s="386">
        <f>SUM(E4:E22)</f>
        <v>36404</v>
      </c>
      <c r="F23" s="386">
        <f aca="true" t="shared" si="4" ref="F23:Q23">SUM(F4:F22)</f>
        <v>900</v>
      </c>
      <c r="G23" s="386">
        <f t="shared" si="4"/>
        <v>1000</v>
      </c>
      <c r="H23" s="386">
        <f t="shared" si="4"/>
        <v>875</v>
      </c>
      <c r="I23" s="386">
        <f t="shared" si="4"/>
        <v>1000</v>
      </c>
      <c r="J23" s="386">
        <f t="shared" si="4"/>
        <v>0</v>
      </c>
      <c r="K23" s="387">
        <f>SUM(K4:K22)</f>
        <v>0</v>
      </c>
      <c r="L23" s="386">
        <f>SUM(L4:L22)</f>
        <v>409316</v>
      </c>
      <c r="M23" s="386">
        <f>SUM(M4:M22)</f>
        <v>42174</v>
      </c>
      <c r="N23" s="386">
        <f>SUM(N4:N22)</f>
        <v>5400</v>
      </c>
      <c r="O23" s="386">
        <f t="shared" si="4"/>
        <v>360</v>
      </c>
      <c r="P23" s="386">
        <f>SUM(P4:P22)</f>
        <v>2400</v>
      </c>
      <c r="Q23" s="386">
        <f t="shared" si="4"/>
        <v>40</v>
      </c>
      <c r="R23" s="386">
        <f>SUM(R4:R22)</f>
        <v>50374</v>
      </c>
    </row>
    <row r="24" spans="1:1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5">
      <c r="A27" s="54"/>
      <c r="B27" s="54" t="s">
        <v>280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 t="s">
        <v>142</v>
      </c>
      <c r="P27" s="54"/>
      <c r="Q27" s="54"/>
      <c r="R27" s="54"/>
    </row>
    <row r="28" spans="1:18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5">
      <c r="A29" s="54"/>
      <c r="B29" s="383" t="str">
        <f>DATA!D147</f>
        <v>Software developed by S.Seshadri,SA(MM),ZPHS-MD Mangalam,GD Nellore,Chittoor(Dist) Visit: www.apteacher.net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</sheetData>
  <sheetProtection password="C8D5" sheet="1" selectLockedCells="1"/>
  <mergeCells count="2">
    <mergeCell ref="A1:R1"/>
    <mergeCell ref="A23:B23"/>
  </mergeCells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5" r:id="rId2"/>
  <headerFooter>
    <oddHeader>&amp;Rwww.apteacher.net
</oddHeader>
  </headerFooter>
  <ignoredErrors>
    <ignoredError sqref="R16 C17:E17 R18:R2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8"/>
  <sheetViews>
    <sheetView showGridLines="0" showRowColHeaders="0" workbookViewId="0" topLeftCell="A1">
      <selection activeCell="M3" sqref="M3"/>
    </sheetView>
  </sheetViews>
  <sheetFormatPr defaultColWidth="9.140625" defaultRowHeight="15"/>
  <cols>
    <col min="1" max="1" width="5.57421875" style="53" customWidth="1"/>
    <col min="2" max="2" width="4.57421875" style="53" customWidth="1"/>
    <col min="3" max="3" width="4.7109375" style="53" customWidth="1"/>
    <col min="4" max="4" width="4.57421875" style="53" customWidth="1"/>
    <col min="5" max="5" width="5.28125" style="53" customWidth="1"/>
    <col min="6" max="6" width="6.421875" style="53" customWidth="1"/>
    <col min="7" max="7" width="17.7109375" style="53" customWidth="1"/>
    <col min="8" max="8" width="21.28125" style="53" customWidth="1"/>
    <col min="9" max="9" width="4.140625" style="53" customWidth="1"/>
    <col min="10" max="10" width="2.421875" style="53" customWidth="1"/>
    <col min="11" max="11" width="20.421875" style="53" customWidth="1"/>
    <col min="12" max="25" width="9.140625" style="53" customWidth="1"/>
    <col min="26" max="31" width="0" style="53" hidden="1" customWidth="1"/>
    <col min="32" max="16384" width="9.140625" style="53" customWidth="1"/>
  </cols>
  <sheetData>
    <row r="1" spans="1:11" ht="15.75" customHeight="1" thickTop="1">
      <c r="A1" s="519" t="s">
        <v>111</v>
      </c>
      <c r="B1" s="520"/>
      <c r="C1" s="520"/>
      <c r="D1" s="520"/>
      <c r="E1" s="520"/>
      <c r="F1" s="520"/>
      <c r="G1" s="520"/>
      <c r="H1" s="520"/>
      <c r="I1" s="520"/>
      <c r="J1" s="520"/>
      <c r="K1" s="521"/>
    </row>
    <row r="2" spans="1:11" ht="18" customHeight="1">
      <c r="A2" s="528" t="s">
        <v>413</v>
      </c>
      <c r="B2" s="529"/>
      <c r="C2" s="529"/>
      <c r="D2" s="529"/>
      <c r="E2" s="529"/>
      <c r="F2" s="529"/>
      <c r="G2" s="529"/>
      <c r="H2" s="529"/>
      <c r="I2" s="529"/>
      <c r="J2" s="529"/>
      <c r="K2" s="530"/>
    </row>
    <row r="3" spans="1:11" ht="13.5" customHeight="1">
      <c r="A3" s="540" t="str">
        <f>CONCATENATE("Name of the Emp : ",DATA!AM3,"                                      ","Designation : ",DATA!AW3)</f>
        <v>Name of the Emp : S.Malathi                                      Designation : S.A(MM)</v>
      </c>
      <c r="B3" s="541"/>
      <c r="C3" s="541"/>
      <c r="D3" s="541"/>
      <c r="E3" s="541"/>
      <c r="F3" s="541"/>
      <c r="G3" s="541"/>
      <c r="H3" s="541"/>
      <c r="I3" s="541"/>
      <c r="J3" s="541"/>
      <c r="K3" s="542"/>
    </row>
    <row r="4" spans="1:11" ht="11.25" customHeight="1">
      <c r="A4" s="543" t="str">
        <f>CONCATENATE("Office : ",DATA!AL4,"                                 ","Mandal : ",DATA!AS4)</f>
        <v>Office : MPPS,MD Mangalam                                 Mandal : GD Nellore </v>
      </c>
      <c r="B4" s="544"/>
      <c r="C4" s="544"/>
      <c r="D4" s="544"/>
      <c r="E4" s="544"/>
      <c r="F4" s="544"/>
      <c r="G4" s="544"/>
      <c r="H4" s="544"/>
      <c r="I4" s="544"/>
      <c r="J4" s="544"/>
      <c r="K4" s="545"/>
    </row>
    <row r="5" spans="1:11" ht="15">
      <c r="A5" s="55" t="s">
        <v>143</v>
      </c>
      <c r="B5" s="56"/>
      <c r="C5" s="57"/>
      <c r="D5" s="57"/>
      <c r="E5" s="58" t="str">
        <f>DATA!AX7</f>
        <v>HYD 06257G</v>
      </c>
      <c r="F5" s="58"/>
      <c r="G5" s="59"/>
      <c r="H5" s="56"/>
      <c r="I5" s="60"/>
      <c r="J5" s="60"/>
      <c r="K5" s="61"/>
    </row>
    <row r="6" spans="1:11" ht="15">
      <c r="A6" s="62">
        <v>1</v>
      </c>
      <c r="B6" s="546" t="str">
        <f>CONCATENATE("Living in : ",DATA!U92," House")</f>
        <v>Living in : Rented House</v>
      </c>
      <c r="C6" s="547"/>
      <c r="D6" s="547"/>
      <c r="E6" s="547"/>
      <c r="F6" s="547"/>
      <c r="G6" s="548"/>
      <c r="H6" s="548"/>
      <c r="I6" s="548"/>
      <c r="J6" s="63"/>
      <c r="K6" s="64"/>
    </row>
    <row r="7" spans="1:11" ht="15.75">
      <c r="A7" s="62">
        <v>2</v>
      </c>
      <c r="B7" s="517" t="s">
        <v>112</v>
      </c>
      <c r="C7" s="518"/>
      <c r="D7" s="518"/>
      <c r="E7" s="518"/>
      <c r="F7" s="518"/>
      <c r="G7" s="518"/>
      <c r="H7" s="518"/>
      <c r="I7" s="66" t="s">
        <v>113</v>
      </c>
      <c r="J7" s="67"/>
      <c r="K7" s="68">
        <f>'Salary Details'!L23</f>
        <v>409316</v>
      </c>
    </row>
    <row r="8" spans="1:11" ht="15.75">
      <c r="A8" s="62">
        <v>3</v>
      </c>
      <c r="B8" s="531" t="s">
        <v>114</v>
      </c>
      <c r="C8" s="532"/>
      <c r="D8" s="532"/>
      <c r="E8" s="532"/>
      <c r="F8" s="532"/>
      <c r="G8" s="532"/>
      <c r="H8" s="532"/>
      <c r="I8" s="69"/>
      <c r="J8" s="70"/>
      <c r="K8" s="71"/>
    </row>
    <row r="9" spans="1:11" ht="15" customHeight="1">
      <c r="A9" s="62"/>
      <c r="B9" s="72" t="s">
        <v>115</v>
      </c>
      <c r="C9" s="511" t="s">
        <v>144</v>
      </c>
      <c r="D9" s="511"/>
      <c r="E9" s="511"/>
      <c r="F9" s="511"/>
      <c r="G9" s="511"/>
      <c r="H9" s="511"/>
      <c r="I9" s="73" t="s">
        <v>113</v>
      </c>
      <c r="J9" s="74"/>
      <c r="K9" s="75">
        <f>'Salary Details'!E23</f>
        <v>36404</v>
      </c>
    </row>
    <row r="10" spans="1:11" ht="15" customHeight="1">
      <c r="A10" s="62"/>
      <c r="B10" s="72" t="s">
        <v>116</v>
      </c>
      <c r="C10" s="507" t="str">
        <f>CONCATENATE("Rent paid in excess of 10% Salary ","( Rs:",DATA!N133,"x12=",DATA!N138," - ",DATA!P132,"=",K10," )")</f>
        <v>Rent paid in excess of 10% Salary ( Rs:6200x12=74400 - 36914=37486 )</v>
      </c>
      <c r="D10" s="507"/>
      <c r="E10" s="507"/>
      <c r="F10" s="507"/>
      <c r="G10" s="507"/>
      <c r="H10" s="507"/>
      <c r="I10" s="73" t="s">
        <v>113</v>
      </c>
      <c r="J10" s="74"/>
      <c r="K10" s="77">
        <f>IF(DATA!T92=1,DATA!P138,0)</f>
        <v>37486</v>
      </c>
    </row>
    <row r="11" spans="1:27" ht="15" customHeight="1">
      <c r="A11" s="62"/>
      <c r="B11" s="72" t="s">
        <v>117</v>
      </c>
      <c r="C11" s="511" t="s">
        <v>118</v>
      </c>
      <c r="D11" s="511"/>
      <c r="E11" s="511"/>
      <c r="F11" s="511"/>
      <c r="G11" s="511"/>
      <c r="H11" s="511"/>
      <c r="I11" s="73" t="s">
        <v>113</v>
      </c>
      <c r="J11" s="74"/>
      <c r="K11" s="75">
        <f>ROUND(('Salary Details'!C23+'Salary Details'!D23)*40%,0)</f>
        <v>147655</v>
      </c>
      <c r="AA11" s="53">
        <f>ROUND(('Salary Details'!C23+'Salary Details'!D23)*10%,0)</f>
        <v>36914</v>
      </c>
    </row>
    <row r="12" spans="1:27" ht="15.75">
      <c r="A12" s="62">
        <v>4</v>
      </c>
      <c r="B12" s="533" t="str">
        <f>CONCATENATE("Deduct (a)or(b)or(c) which ever is less [2 - 3]","i.e ",K7," - ",MIN(K9:K11)," = ",K7-MIN(K9:K11))</f>
        <v>Deduct (a)or(b)or(c) which ever is less [2 - 3]i.e 409316 - 36404 = 372912</v>
      </c>
      <c r="C12" s="534"/>
      <c r="D12" s="534"/>
      <c r="E12" s="534"/>
      <c r="F12" s="534"/>
      <c r="G12" s="534"/>
      <c r="H12" s="534"/>
      <c r="I12" s="69" t="s">
        <v>113</v>
      </c>
      <c r="J12" s="70"/>
      <c r="K12" s="78">
        <f>K7-MIN(K9:K11)</f>
        <v>372912</v>
      </c>
      <c r="AA12" s="79">
        <f>K9</f>
        <v>36404</v>
      </c>
    </row>
    <row r="13" spans="1:11" ht="15.75">
      <c r="A13" s="62">
        <v>5</v>
      </c>
      <c r="B13" s="517" t="s">
        <v>119</v>
      </c>
      <c r="C13" s="518"/>
      <c r="D13" s="518"/>
      <c r="E13" s="518"/>
      <c r="F13" s="518"/>
      <c r="G13" s="518"/>
      <c r="H13" s="518"/>
      <c r="I13" s="69"/>
      <c r="J13" s="70"/>
      <c r="K13" s="71"/>
    </row>
    <row r="14" spans="1:11" ht="15" customHeight="1">
      <c r="A14" s="62"/>
      <c r="B14" s="72" t="s">
        <v>115</v>
      </c>
      <c r="C14" s="527" t="s">
        <v>120</v>
      </c>
      <c r="D14" s="527"/>
      <c r="E14" s="527"/>
      <c r="F14" s="527"/>
      <c r="G14" s="527"/>
      <c r="H14" s="527"/>
      <c r="I14" s="73" t="s">
        <v>113</v>
      </c>
      <c r="J14" s="74"/>
      <c r="K14" s="75">
        <f>'[1]Salary Form'!J23</f>
        <v>0</v>
      </c>
    </row>
    <row r="15" spans="1:11" ht="15" customHeight="1">
      <c r="A15" s="62"/>
      <c r="B15" s="72" t="s">
        <v>116</v>
      </c>
      <c r="C15" s="80" t="s">
        <v>148</v>
      </c>
      <c r="D15" s="80"/>
      <c r="E15" s="80"/>
      <c r="F15" s="80"/>
      <c r="G15" s="80"/>
      <c r="H15" s="80"/>
      <c r="I15" s="73" t="s">
        <v>113</v>
      </c>
      <c r="J15" s="74"/>
      <c r="K15" s="81" t="s">
        <v>149</v>
      </c>
    </row>
    <row r="16" spans="1:11" ht="15" customHeight="1">
      <c r="A16" s="62"/>
      <c r="B16" s="72" t="s">
        <v>117</v>
      </c>
      <c r="C16" s="513" t="s">
        <v>121</v>
      </c>
      <c r="D16" s="513"/>
      <c r="E16" s="513"/>
      <c r="F16" s="513"/>
      <c r="G16" s="513"/>
      <c r="H16" s="80"/>
      <c r="I16" s="73" t="s">
        <v>113</v>
      </c>
      <c r="J16" s="70"/>
      <c r="K16" s="75">
        <f>'Salary Details'!P23</f>
        <v>2400</v>
      </c>
    </row>
    <row r="17" spans="1:17" ht="16.5">
      <c r="A17" s="62">
        <v>6</v>
      </c>
      <c r="B17" s="517" t="s">
        <v>150</v>
      </c>
      <c r="C17" s="518"/>
      <c r="D17" s="518"/>
      <c r="E17" s="518"/>
      <c r="F17" s="518"/>
      <c r="G17" s="518"/>
      <c r="H17" s="518"/>
      <c r="I17" s="69" t="s">
        <v>113</v>
      </c>
      <c r="J17" s="70"/>
      <c r="K17" s="82">
        <f>K12-K16</f>
        <v>370512</v>
      </c>
      <c r="Q17" s="83"/>
    </row>
    <row r="18" spans="1:11" ht="15" customHeight="1">
      <c r="A18" s="62">
        <v>7</v>
      </c>
      <c r="B18" s="91" t="s">
        <v>115</v>
      </c>
      <c r="C18" s="84" t="s">
        <v>122</v>
      </c>
      <c r="D18" s="84"/>
      <c r="E18" s="84"/>
      <c r="F18" s="84"/>
      <c r="G18" s="84"/>
      <c r="H18" s="85"/>
      <c r="I18" s="69" t="s">
        <v>113</v>
      </c>
      <c r="J18" s="70"/>
      <c r="K18" s="86">
        <v>0</v>
      </c>
    </row>
    <row r="19" spans="1:11" ht="15" customHeight="1">
      <c r="A19" s="62"/>
      <c r="B19" s="91" t="s">
        <v>116</v>
      </c>
      <c r="C19" s="84" t="s">
        <v>123</v>
      </c>
      <c r="D19" s="84"/>
      <c r="E19" s="84"/>
      <c r="F19" s="84"/>
      <c r="G19" s="84"/>
      <c r="H19" s="85"/>
      <c r="I19" s="69" t="s">
        <v>113</v>
      </c>
      <c r="J19" s="70"/>
      <c r="K19" s="71">
        <f>DATA!AT12</f>
        <v>0</v>
      </c>
    </row>
    <row r="20" spans="1:11" ht="15.75">
      <c r="A20" s="62">
        <v>8</v>
      </c>
      <c r="B20" s="517" t="s">
        <v>285</v>
      </c>
      <c r="C20" s="518"/>
      <c r="D20" s="518"/>
      <c r="E20" s="518"/>
      <c r="F20" s="518"/>
      <c r="G20" s="518"/>
      <c r="H20" s="518"/>
      <c r="I20" s="69" t="s">
        <v>113</v>
      </c>
      <c r="J20" s="70"/>
      <c r="K20" s="78">
        <f>K17+K18-K19</f>
        <v>370512</v>
      </c>
    </row>
    <row r="21" spans="1:11" ht="15.75">
      <c r="A21" s="62">
        <v>9</v>
      </c>
      <c r="B21" s="522" t="s">
        <v>155</v>
      </c>
      <c r="C21" s="523"/>
      <c r="D21" s="523"/>
      <c r="E21" s="523"/>
      <c r="F21" s="523"/>
      <c r="G21" s="523"/>
      <c r="H21" s="523"/>
      <c r="I21" s="69"/>
      <c r="J21" s="70"/>
      <c r="K21" s="71"/>
    </row>
    <row r="22" spans="1:11" ht="15" customHeight="1">
      <c r="A22" s="62"/>
      <c r="B22" s="72" t="s">
        <v>115</v>
      </c>
      <c r="C22" s="507" t="str">
        <f>DATA!R73</f>
        <v>CPS</v>
      </c>
      <c r="D22" s="507"/>
      <c r="E22" s="507"/>
      <c r="F22" s="87"/>
      <c r="G22" s="76"/>
      <c r="H22" s="88"/>
      <c r="I22" s="73" t="s">
        <v>113</v>
      </c>
      <c r="J22" s="74"/>
      <c r="K22" s="89">
        <f>'Salary Details'!M23</f>
        <v>42174</v>
      </c>
    </row>
    <row r="23" spans="1:11" ht="15" customHeight="1">
      <c r="A23" s="62"/>
      <c r="B23" s="72" t="s">
        <v>116</v>
      </c>
      <c r="C23" s="507" t="s">
        <v>105</v>
      </c>
      <c r="D23" s="507"/>
      <c r="E23" s="76"/>
      <c r="F23" s="90"/>
      <c r="G23" s="88"/>
      <c r="H23" s="88"/>
      <c r="I23" s="73" t="s">
        <v>113</v>
      </c>
      <c r="J23" s="74"/>
      <c r="K23" s="89">
        <f>'Salary Details'!N23</f>
        <v>5400</v>
      </c>
    </row>
    <row r="24" spans="1:11" ht="15" customHeight="1">
      <c r="A24" s="62"/>
      <c r="B24" s="72" t="s">
        <v>117</v>
      </c>
      <c r="C24" s="76" t="s">
        <v>108</v>
      </c>
      <c r="D24" s="76"/>
      <c r="E24" s="76"/>
      <c r="F24" s="76"/>
      <c r="G24" s="76"/>
      <c r="H24" s="76"/>
      <c r="I24" s="73" t="s">
        <v>113</v>
      </c>
      <c r="J24" s="74"/>
      <c r="K24" s="89">
        <f>'Salary Details'!O23</f>
        <v>360</v>
      </c>
    </row>
    <row r="25" spans="1:11" ht="15" customHeight="1">
      <c r="A25" s="62"/>
      <c r="B25" s="91" t="s">
        <v>125</v>
      </c>
      <c r="C25" s="507" t="str">
        <f>DATA!C100</f>
        <v>LIC Annual Premiums </v>
      </c>
      <c r="D25" s="507"/>
      <c r="E25" s="507"/>
      <c r="F25" s="507"/>
      <c r="G25" s="507"/>
      <c r="H25" s="507"/>
      <c r="I25" s="73" t="s">
        <v>113</v>
      </c>
      <c r="J25" s="74"/>
      <c r="K25" s="89">
        <f>DATA!AN13</f>
        <v>2500</v>
      </c>
    </row>
    <row r="26" spans="1:11" ht="15" customHeight="1">
      <c r="A26" s="62"/>
      <c r="B26" s="72" t="s">
        <v>126</v>
      </c>
      <c r="C26" s="507" t="str">
        <f>DATA!C101</f>
        <v>Tution Fee for 2 Chidren</v>
      </c>
      <c r="D26" s="507"/>
      <c r="E26" s="507"/>
      <c r="F26" s="507"/>
      <c r="G26" s="507"/>
      <c r="H26" s="507"/>
      <c r="I26" s="73" t="s">
        <v>113</v>
      </c>
      <c r="J26" s="74"/>
      <c r="K26" s="89">
        <f>DATA!AN14</f>
        <v>20000</v>
      </c>
    </row>
    <row r="27" spans="1:11" ht="15" customHeight="1">
      <c r="A27" s="62"/>
      <c r="B27" s="72" t="s">
        <v>127</v>
      </c>
      <c r="C27" s="507" t="str">
        <f>DATA!C102</f>
        <v>Repayment of Home Loan Premium</v>
      </c>
      <c r="D27" s="507"/>
      <c r="E27" s="507"/>
      <c r="F27" s="507"/>
      <c r="G27" s="507"/>
      <c r="H27" s="507"/>
      <c r="I27" s="73" t="s">
        <v>113</v>
      </c>
      <c r="J27" s="74"/>
      <c r="K27" s="89">
        <f>DATA!AN15</f>
        <v>0</v>
      </c>
    </row>
    <row r="28" spans="1:11" ht="15" customHeight="1">
      <c r="A28" s="62"/>
      <c r="B28" s="91" t="s">
        <v>128</v>
      </c>
      <c r="C28" s="507" t="str">
        <f>DATA!C103</f>
        <v>PLI Annual Premuim</v>
      </c>
      <c r="D28" s="507"/>
      <c r="E28" s="507"/>
      <c r="F28" s="507"/>
      <c r="G28" s="507"/>
      <c r="H28" s="507"/>
      <c r="I28" s="73" t="s">
        <v>113</v>
      </c>
      <c r="J28" s="74"/>
      <c r="K28" s="89">
        <f>DATA!AN16</f>
        <v>1200</v>
      </c>
    </row>
    <row r="29" spans="1:11" ht="15" customHeight="1">
      <c r="A29" s="62"/>
      <c r="B29" s="72" t="s">
        <v>129</v>
      </c>
      <c r="C29" s="507" t="str">
        <f>DATA!C104</f>
        <v>5 Years Fixed Deposits </v>
      </c>
      <c r="D29" s="507"/>
      <c r="E29" s="507"/>
      <c r="F29" s="507"/>
      <c r="G29" s="507"/>
      <c r="H29" s="507"/>
      <c r="I29" s="73" t="s">
        <v>113</v>
      </c>
      <c r="J29" s="74"/>
      <c r="K29" s="89">
        <f>DATA!AN17</f>
        <v>0</v>
      </c>
    </row>
    <row r="30" spans="1:11" ht="15" customHeight="1">
      <c r="A30" s="62"/>
      <c r="B30" s="91" t="s">
        <v>132</v>
      </c>
      <c r="C30" s="507" t="str">
        <f>DATA!C105</f>
        <v>Unit Linked Insurance Plan</v>
      </c>
      <c r="D30" s="507"/>
      <c r="E30" s="507"/>
      <c r="F30" s="507"/>
      <c r="G30" s="507"/>
      <c r="H30" s="507"/>
      <c r="I30" s="73" t="s">
        <v>113</v>
      </c>
      <c r="J30" s="74"/>
      <c r="K30" s="89">
        <f>DATA!AN18</f>
        <v>0</v>
      </c>
    </row>
    <row r="31" spans="1:11" ht="15" customHeight="1">
      <c r="A31" s="62"/>
      <c r="B31" s="72" t="s">
        <v>133</v>
      </c>
      <c r="C31" s="507" t="str">
        <f>DATA!C106</f>
        <v>Others U/s 80 C</v>
      </c>
      <c r="D31" s="507"/>
      <c r="E31" s="507"/>
      <c r="F31" s="507"/>
      <c r="G31" s="507"/>
      <c r="H31" s="507"/>
      <c r="I31" s="73" t="s">
        <v>113</v>
      </c>
      <c r="J31" s="74"/>
      <c r="K31" s="89">
        <f>DATA!AN19</f>
        <v>0</v>
      </c>
    </row>
    <row r="32" spans="1:11" ht="15" customHeight="1">
      <c r="A32" s="62"/>
      <c r="B32" s="91" t="s">
        <v>134</v>
      </c>
      <c r="C32" s="76" t="s">
        <v>154</v>
      </c>
      <c r="D32" s="76"/>
      <c r="E32" s="88"/>
      <c r="F32" s="88"/>
      <c r="G32" s="88"/>
      <c r="H32" s="76"/>
      <c r="I32" s="92" t="s">
        <v>113</v>
      </c>
      <c r="J32" s="93"/>
      <c r="K32" s="89">
        <f>DATA!AV20</f>
        <v>0</v>
      </c>
    </row>
    <row r="33" spans="1:11" ht="16.5">
      <c r="A33" s="62">
        <v>10</v>
      </c>
      <c r="B33" s="94" t="s">
        <v>156</v>
      </c>
      <c r="C33" s="95"/>
      <c r="D33" s="95"/>
      <c r="E33" s="95"/>
      <c r="F33" s="65"/>
      <c r="G33" s="65"/>
      <c r="H33" s="96"/>
      <c r="I33" s="97" t="s">
        <v>113</v>
      </c>
      <c r="J33" s="98"/>
      <c r="K33" s="99">
        <f>IF(SUM(K22:K32)&gt;100000,100000,SUM(K22:K32))</f>
        <v>71634</v>
      </c>
    </row>
    <row r="34" spans="1:11" ht="15.75">
      <c r="A34" s="62">
        <v>11</v>
      </c>
      <c r="B34" s="517" t="str">
        <f>CONCATENATE("Gross Total Income[8-10] i.e Rs ",K20," - ",K33," = ",K34)</f>
        <v>Gross Total Income[8-10] i.e Rs 370512 - 71634 = 298878</v>
      </c>
      <c r="C34" s="518"/>
      <c r="D34" s="518"/>
      <c r="E34" s="518"/>
      <c r="F34" s="518"/>
      <c r="G34" s="518"/>
      <c r="H34" s="524"/>
      <c r="I34" s="69" t="s">
        <v>113</v>
      </c>
      <c r="J34" s="70"/>
      <c r="K34" s="78">
        <f>K20-K33</f>
        <v>298878</v>
      </c>
    </row>
    <row r="35" spans="1:11" ht="15.75">
      <c r="A35" s="62">
        <v>12</v>
      </c>
      <c r="B35" s="517" t="s">
        <v>124</v>
      </c>
      <c r="C35" s="518"/>
      <c r="D35" s="518"/>
      <c r="E35" s="518"/>
      <c r="F35" s="518"/>
      <c r="G35" s="518"/>
      <c r="H35" s="524"/>
      <c r="I35" s="69"/>
      <c r="J35" s="70"/>
      <c r="K35" s="71"/>
    </row>
    <row r="36" spans="1:11" ht="15" customHeight="1">
      <c r="A36" s="62"/>
      <c r="B36" s="72" t="s">
        <v>115</v>
      </c>
      <c r="C36" s="507" t="str">
        <f>DATA!AO13</f>
        <v>Medical Insurance Premium          Rs</v>
      </c>
      <c r="D36" s="507"/>
      <c r="E36" s="507"/>
      <c r="F36" s="507"/>
      <c r="G36" s="507"/>
      <c r="H36" s="100"/>
      <c r="I36" s="101" t="s">
        <v>113</v>
      </c>
      <c r="J36" s="102"/>
      <c r="K36" s="89">
        <f>DATA!AT13</f>
        <v>0</v>
      </c>
    </row>
    <row r="37" spans="1:11" ht="15" customHeight="1">
      <c r="A37" s="62"/>
      <c r="B37" s="72" t="s">
        <v>116</v>
      </c>
      <c r="C37" s="507" t="str">
        <f>DATA!AO14</f>
        <v>Expenditure on medical treatment    Rs</v>
      </c>
      <c r="D37" s="507"/>
      <c r="E37" s="507"/>
      <c r="F37" s="507"/>
      <c r="G37" s="507"/>
      <c r="H37" s="100"/>
      <c r="I37" s="101" t="s">
        <v>113</v>
      </c>
      <c r="J37" s="102"/>
      <c r="K37" s="89">
        <f>DATA!AT14</f>
        <v>0</v>
      </c>
    </row>
    <row r="38" spans="1:11" ht="15" customHeight="1">
      <c r="A38" s="62"/>
      <c r="B38" s="72" t="s">
        <v>117</v>
      </c>
      <c r="C38" s="507" t="str">
        <f>DATA!AO15</f>
        <v>Donation of Charitable Institution       Rs</v>
      </c>
      <c r="D38" s="507"/>
      <c r="E38" s="507"/>
      <c r="F38" s="507"/>
      <c r="G38" s="507"/>
      <c r="H38" s="100"/>
      <c r="I38" s="101" t="s">
        <v>113</v>
      </c>
      <c r="J38" s="102"/>
      <c r="K38" s="89">
        <f>DATA!AT15</f>
        <v>0</v>
      </c>
    </row>
    <row r="39" spans="1:11" ht="15" customHeight="1">
      <c r="A39" s="62"/>
      <c r="B39" s="72" t="s">
        <v>125</v>
      </c>
      <c r="C39" s="507" t="str">
        <f>DATA!AO16</f>
        <v>Interest on Educational Loan         Rs</v>
      </c>
      <c r="D39" s="507"/>
      <c r="E39" s="507"/>
      <c r="F39" s="507"/>
      <c r="G39" s="507"/>
      <c r="H39" s="100"/>
      <c r="I39" s="101" t="s">
        <v>113</v>
      </c>
      <c r="J39" s="102"/>
      <c r="K39" s="89">
        <f>DATA!AT16</f>
        <v>0</v>
      </c>
    </row>
    <row r="40" spans="1:11" ht="15" customHeight="1">
      <c r="A40" s="62"/>
      <c r="B40" s="72" t="s">
        <v>126</v>
      </c>
      <c r="C40" s="507" t="str">
        <f>DATA!AO17</f>
        <v>Interest on Housing Loan Advance      Rs</v>
      </c>
      <c r="D40" s="507"/>
      <c r="E40" s="507"/>
      <c r="F40" s="507"/>
      <c r="G40" s="507"/>
      <c r="H40" s="100"/>
      <c r="I40" s="101" t="s">
        <v>113</v>
      </c>
      <c r="J40" s="102"/>
      <c r="K40" s="89">
        <f>DATA!AT17</f>
        <v>0</v>
      </c>
    </row>
    <row r="41" spans="1:11" ht="15" customHeight="1">
      <c r="A41" s="62"/>
      <c r="B41" s="72" t="s">
        <v>127</v>
      </c>
      <c r="C41" s="507" t="str">
        <f>DATA!AO18</f>
        <v>Medical treatment U/s                   Rs</v>
      </c>
      <c r="D41" s="507"/>
      <c r="E41" s="507"/>
      <c r="F41" s="507"/>
      <c r="G41" s="507"/>
      <c r="H41" s="76"/>
      <c r="I41" s="101" t="s">
        <v>113</v>
      </c>
      <c r="J41" s="103"/>
      <c r="K41" s="89">
        <f>DATA!AT18</f>
        <v>0</v>
      </c>
    </row>
    <row r="42" spans="1:11" ht="15" customHeight="1">
      <c r="A42" s="62"/>
      <c r="B42" s="72" t="s">
        <v>128</v>
      </c>
      <c r="C42" s="507" t="str">
        <f>DATA!AO19</f>
        <v>Maintaince and expenditure treatment for disabled dependent                       Rs</v>
      </c>
      <c r="D42" s="507"/>
      <c r="E42" s="507"/>
      <c r="F42" s="507"/>
      <c r="G42" s="507"/>
      <c r="H42" s="76"/>
      <c r="I42" s="101" t="s">
        <v>113</v>
      </c>
      <c r="J42" s="103"/>
      <c r="K42" s="89">
        <f>DATA!AT19</f>
        <v>0</v>
      </c>
    </row>
    <row r="43" spans="1:11" ht="15" customHeight="1">
      <c r="A43" s="62"/>
      <c r="B43" s="72" t="s">
        <v>129</v>
      </c>
      <c r="C43" s="512" t="s">
        <v>130</v>
      </c>
      <c r="D43" s="512"/>
      <c r="E43" s="512"/>
      <c r="F43" s="512"/>
      <c r="G43" s="512"/>
      <c r="H43" s="512"/>
      <c r="I43" s="105" t="s">
        <v>113</v>
      </c>
      <c r="J43" s="106"/>
      <c r="K43" s="107">
        <f>'Salary Details'!Q23</f>
        <v>40</v>
      </c>
    </row>
    <row r="44" spans="1:11" ht="15" customHeight="1">
      <c r="A44" s="62"/>
      <c r="B44" s="72" t="s">
        <v>132</v>
      </c>
      <c r="C44" s="108" t="s">
        <v>298</v>
      </c>
      <c r="D44" s="108"/>
      <c r="E44" s="108"/>
      <c r="F44" s="108"/>
      <c r="G44" s="108"/>
      <c r="H44" s="104"/>
      <c r="I44" s="105" t="s">
        <v>113</v>
      </c>
      <c r="J44" s="109"/>
      <c r="K44" s="110">
        <f>DATA!AN12</f>
        <v>0</v>
      </c>
    </row>
    <row r="45" spans="1:11" ht="15.75">
      <c r="A45" s="62"/>
      <c r="B45" s="525" t="s">
        <v>131</v>
      </c>
      <c r="C45" s="526"/>
      <c r="D45" s="526"/>
      <c r="E45" s="526"/>
      <c r="F45" s="526"/>
      <c r="G45" s="526"/>
      <c r="H45" s="526"/>
      <c r="I45" s="97" t="s">
        <v>113</v>
      </c>
      <c r="J45" s="98"/>
      <c r="K45" s="99">
        <f>SUM(K36:K44)</f>
        <v>40</v>
      </c>
    </row>
    <row r="46" spans="1:11" ht="15.75">
      <c r="A46" s="62">
        <v>13</v>
      </c>
      <c r="B46" s="517" t="str">
        <f>CONCATENATE("Net Total Income  (11-12) i.e ( Rs:",K34," - ",K45," = ",K46,")")</f>
        <v>Net Total Income  (11-12) i.e ( Rs:298878 - 40 = 298838)</v>
      </c>
      <c r="C46" s="518"/>
      <c r="D46" s="518"/>
      <c r="E46" s="518"/>
      <c r="F46" s="518"/>
      <c r="G46" s="518"/>
      <c r="H46" s="518"/>
      <c r="I46" s="69" t="s">
        <v>113</v>
      </c>
      <c r="J46" s="70"/>
      <c r="K46" s="71">
        <f>K34-K45</f>
        <v>298838</v>
      </c>
    </row>
    <row r="47" spans="1:11" ht="15.75">
      <c r="A47" s="62">
        <v>14</v>
      </c>
      <c r="B47" s="517" t="s">
        <v>377</v>
      </c>
      <c r="C47" s="518"/>
      <c r="D47" s="518"/>
      <c r="E47" s="518"/>
      <c r="F47" s="518"/>
      <c r="G47" s="518"/>
      <c r="H47" s="518"/>
      <c r="I47" s="111" t="s">
        <v>113</v>
      </c>
      <c r="J47" s="112"/>
      <c r="K47" s="113">
        <f>ROUND(K46,-1)</f>
        <v>298840</v>
      </c>
    </row>
    <row r="48" spans="1:11" ht="15.75">
      <c r="A48" s="62">
        <v>15</v>
      </c>
      <c r="B48" s="94" t="str">
        <f>CONCATENATE("Tax on net total Income ( i.e Tax on Rs: ",DATA!V140,")")</f>
        <v>Tax on net total Income ( i.e Tax on Rs: 98840)</v>
      </c>
      <c r="C48" s="95"/>
      <c r="D48" s="95"/>
      <c r="E48" s="95"/>
      <c r="F48" s="95"/>
      <c r="G48" s="95"/>
      <c r="H48" s="65"/>
      <c r="I48" s="73"/>
      <c r="J48" s="74"/>
      <c r="K48" s="114"/>
    </row>
    <row r="49" spans="1:11" ht="15" customHeight="1">
      <c r="A49" s="62"/>
      <c r="B49" s="72" t="s">
        <v>115</v>
      </c>
      <c r="C49" s="513" t="str">
        <f>DATA!S121</f>
        <v>Up to Rs. 2,00,000</v>
      </c>
      <c r="D49" s="513"/>
      <c r="E49" s="513"/>
      <c r="F49" s="513"/>
      <c r="G49" s="513"/>
      <c r="H49" s="514"/>
      <c r="I49" s="73" t="s">
        <v>113</v>
      </c>
      <c r="J49" s="74"/>
      <c r="K49" s="115" t="s">
        <v>158</v>
      </c>
    </row>
    <row r="50" spans="1:11" ht="15" customHeight="1">
      <c r="A50" s="62"/>
      <c r="B50" s="72" t="s">
        <v>116</v>
      </c>
      <c r="C50" s="515" t="str">
        <f>DATA!S136</f>
        <v>Rs.2,00,001 To 5,00,000. (@ 10%)( i.e 98840x10%)</v>
      </c>
      <c r="D50" s="515"/>
      <c r="E50" s="515"/>
      <c r="F50" s="515"/>
      <c r="G50" s="515"/>
      <c r="H50" s="516"/>
      <c r="I50" s="73" t="s">
        <v>113</v>
      </c>
      <c r="J50" s="74"/>
      <c r="K50" s="114">
        <f>DATA!W136</f>
        <v>9884</v>
      </c>
    </row>
    <row r="51" spans="1:11" ht="15" customHeight="1">
      <c r="A51" s="62"/>
      <c r="B51" s="72" t="s">
        <v>117</v>
      </c>
      <c r="C51" s="497" t="str">
        <f>DATA!S137</f>
        <v>Rs.5,00,001 To10,00,000.   (@ 20%)</v>
      </c>
      <c r="D51" s="497"/>
      <c r="E51" s="497"/>
      <c r="F51" s="497"/>
      <c r="G51" s="497"/>
      <c r="H51" s="498"/>
      <c r="I51" s="73" t="s">
        <v>113</v>
      </c>
      <c r="J51" s="74"/>
      <c r="K51" s="114">
        <f>DATA!W137</f>
        <v>0</v>
      </c>
    </row>
    <row r="52" spans="1:11" ht="15" customHeight="1">
      <c r="A52" s="62"/>
      <c r="B52" s="72" t="s">
        <v>125</v>
      </c>
      <c r="C52" s="499" t="str">
        <f>DATA!S138</f>
        <v>above Rs.10,00,001.          (@ 30%)</v>
      </c>
      <c r="D52" s="499"/>
      <c r="E52" s="499"/>
      <c r="F52" s="499"/>
      <c r="G52" s="499"/>
      <c r="H52" s="500"/>
      <c r="I52" s="73" t="s">
        <v>113</v>
      </c>
      <c r="J52" s="74"/>
      <c r="K52" s="114">
        <f>DATA!W138</f>
        <v>0</v>
      </c>
    </row>
    <row r="53" spans="1:11" ht="15" customHeight="1">
      <c r="A53" s="62">
        <v>16</v>
      </c>
      <c r="B53" s="510" t="s">
        <v>135</v>
      </c>
      <c r="C53" s="511"/>
      <c r="D53" s="511"/>
      <c r="E53" s="511"/>
      <c r="F53" s="511"/>
      <c r="G53" s="511"/>
      <c r="H53" s="88"/>
      <c r="I53" s="73" t="s">
        <v>113</v>
      </c>
      <c r="J53" s="116"/>
      <c r="K53" s="114">
        <f>ROUND((K50+K51+K52)*1%,0)</f>
        <v>99</v>
      </c>
    </row>
    <row r="54" spans="1:11" ht="15" customHeight="1">
      <c r="A54" s="62">
        <v>17</v>
      </c>
      <c r="B54" s="510" t="s">
        <v>136</v>
      </c>
      <c r="C54" s="511"/>
      <c r="D54" s="511"/>
      <c r="E54" s="511"/>
      <c r="F54" s="511"/>
      <c r="G54" s="511"/>
      <c r="H54" s="88"/>
      <c r="I54" s="73" t="s">
        <v>113</v>
      </c>
      <c r="J54" s="116"/>
      <c r="K54" s="114">
        <f>ROUND(SUM(K50:K52)*2%,0)</f>
        <v>198</v>
      </c>
    </row>
    <row r="55" spans="1:11" s="54" customFormat="1" ht="15.75">
      <c r="A55" s="1">
        <v>18</v>
      </c>
      <c r="B55" s="508" t="s">
        <v>159</v>
      </c>
      <c r="C55" s="509"/>
      <c r="D55" s="509"/>
      <c r="E55" s="509"/>
      <c r="F55" s="509"/>
      <c r="G55" s="509"/>
      <c r="H55" s="10"/>
      <c r="I55" s="4" t="s">
        <v>113</v>
      </c>
      <c r="J55" s="5"/>
      <c r="K55" s="36">
        <f>K50+K51+K52+K53+K54</f>
        <v>10181</v>
      </c>
    </row>
    <row r="56" spans="1:11" s="54" customFormat="1" ht="15.75">
      <c r="A56" s="1">
        <v>19</v>
      </c>
      <c r="B56" s="508" t="s">
        <v>137</v>
      </c>
      <c r="C56" s="509"/>
      <c r="D56" s="509"/>
      <c r="E56" s="509"/>
      <c r="F56" s="509"/>
      <c r="G56" s="509"/>
      <c r="H56" s="10"/>
      <c r="I56" s="4" t="s">
        <v>113</v>
      </c>
      <c r="J56" s="5"/>
      <c r="K56" s="36"/>
    </row>
    <row r="57" spans="1:11" s="54" customFormat="1" ht="15.75">
      <c r="A57" s="1"/>
      <c r="B57" s="3" t="s">
        <v>115</v>
      </c>
      <c r="C57" s="9" t="s">
        <v>138</v>
      </c>
      <c r="D57" s="505">
        <v>41214</v>
      </c>
      <c r="E57" s="505"/>
      <c r="F57" s="11" t="s">
        <v>113</v>
      </c>
      <c r="G57" s="12">
        <f>SUM(DATA!AY13:AY17)</f>
        <v>0</v>
      </c>
      <c r="H57" s="8"/>
      <c r="I57" s="13"/>
      <c r="J57" s="2"/>
      <c r="K57" s="37"/>
    </row>
    <row r="58" spans="1:11" s="54" customFormat="1" ht="15.75">
      <c r="A58" s="1"/>
      <c r="B58" s="3" t="s">
        <v>116</v>
      </c>
      <c r="C58" s="14"/>
      <c r="D58" s="505">
        <v>41244</v>
      </c>
      <c r="E58" s="505"/>
      <c r="F58" s="11" t="s">
        <v>113</v>
      </c>
      <c r="G58" s="12">
        <f>DATA!AY18</f>
        <v>0</v>
      </c>
      <c r="H58" s="8"/>
      <c r="I58" s="13"/>
      <c r="J58" s="2"/>
      <c r="K58" s="37"/>
    </row>
    <row r="59" spans="1:11" s="54" customFormat="1" ht="15.75">
      <c r="A59" s="1"/>
      <c r="B59" s="3" t="s">
        <v>117</v>
      </c>
      <c r="C59" s="14"/>
      <c r="D59" s="505">
        <v>41275</v>
      </c>
      <c r="E59" s="505"/>
      <c r="F59" s="11" t="s">
        <v>113</v>
      </c>
      <c r="G59" s="12">
        <f>DATA!AY19</f>
        <v>0</v>
      </c>
      <c r="H59" s="8"/>
      <c r="I59" s="13"/>
      <c r="J59" s="2"/>
      <c r="K59" s="37"/>
    </row>
    <row r="60" spans="1:11" s="54" customFormat="1" ht="15.75">
      <c r="A60" s="1"/>
      <c r="B60" s="3"/>
      <c r="C60" s="506" t="s">
        <v>139</v>
      </c>
      <c r="D60" s="506"/>
      <c r="E60" s="506"/>
      <c r="F60" s="506"/>
      <c r="G60" s="18">
        <f>SUM(G57:G59)</f>
        <v>0</v>
      </c>
      <c r="H60" s="8"/>
      <c r="I60" s="13"/>
      <c r="J60" s="2"/>
      <c r="K60" s="37"/>
    </row>
    <row r="61" spans="1:11" s="54" customFormat="1" ht="15.75">
      <c r="A61" s="39">
        <v>20</v>
      </c>
      <c r="B61" s="501" t="s">
        <v>140</v>
      </c>
      <c r="C61" s="502"/>
      <c r="D61" s="502"/>
      <c r="E61" s="502"/>
      <c r="F61" s="502"/>
      <c r="G61" s="502"/>
      <c r="H61" s="15"/>
      <c r="I61" s="16" t="s">
        <v>113</v>
      </c>
      <c r="J61" s="17"/>
      <c r="K61" s="38">
        <f>K55-G60</f>
        <v>10181</v>
      </c>
    </row>
    <row r="62" spans="1:11" s="54" customFormat="1" ht="11.25" customHeight="1">
      <c r="A62" s="117"/>
      <c r="B62" s="8"/>
      <c r="C62" s="8"/>
      <c r="D62" s="8"/>
      <c r="E62" s="8"/>
      <c r="F62" s="8"/>
      <c r="G62" s="8"/>
      <c r="H62" s="8"/>
      <c r="I62" s="2"/>
      <c r="J62" s="2"/>
      <c r="K62" s="118"/>
    </row>
    <row r="63" spans="1:11" s="54" customFormat="1" ht="13.5" customHeight="1">
      <c r="A63" s="119"/>
      <c r="B63" s="7"/>
      <c r="C63" s="7"/>
      <c r="D63" s="7"/>
      <c r="E63" s="7"/>
      <c r="F63" s="7"/>
      <c r="G63" s="7"/>
      <c r="H63" s="8"/>
      <c r="I63" s="2"/>
      <c r="J63" s="2"/>
      <c r="K63" s="118"/>
    </row>
    <row r="64" spans="1:11" s="54" customFormat="1" ht="15.75">
      <c r="A64" s="120"/>
      <c r="B64" s="10"/>
      <c r="C64" s="10"/>
      <c r="D64" s="10"/>
      <c r="E64" s="10"/>
      <c r="F64" s="10"/>
      <c r="G64" s="10"/>
      <c r="H64" s="8"/>
      <c r="I64" s="2"/>
      <c r="J64" s="2"/>
      <c r="K64" s="121"/>
    </row>
    <row r="65" spans="1:11" s="54" customFormat="1" ht="15.75">
      <c r="A65" s="503" t="s">
        <v>141</v>
      </c>
      <c r="B65" s="504"/>
      <c r="C65" s="504"/>
      <c r="D65" s="504"/>
      <c r="E65" s="504"/>
      <c r="F65" s="504"/>
      <c r="G65" s="504"/>
      <c r="H65" s="538" t="s">
        <v>142</v>
      </c>
      <c r="I65" s="538"/>
      <c r="J65" s="538"/>
      <c r="K65" s="539"/>
    </row>
    <row r="66" spans="1:11" s="54" customFormat="1" ht="15.75">
      <c r="A66" s="120"/>
      <c r="B66" s="7"/>
      <c r="C66" s="7"/>
      <c r="D66" s="7"/>
      <c r="E66" s="7"/>
      <c r="F66" s="7"/>
      <c r="G66" s="7"/>
      <c r="H66" s="8"/>
      <c r="I66" s="2"/>
      <c r="J66" s="2"/>
      <c r="K66" s="118"/>
    </row>
    <row r="67" spans="1:11" s="54" customFormat="1" ht="16.5" thickBot="1">
      <c r="A67" s="535" t="str">
        <f>DATA!D147</f>
        <v>Software developed by S.Seshadri,SA(MM),ZPHS-MD Mangalam,GD Nellore,Chittoor(Dist) Visit: www.apteacher.net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7"/>
    </row>
    <row r="68" spans="1:11" s="54" customFormat="1" ht="16.5" thickTop="1">
      <c r="A68" s="10"/>
      <c r="B68" s="14"/>
      <c r="C68" s="14"/>
      <c r="D68" s="14"/>
      <c r="E68" s="14"/>
      <c r="F68" s="14"/>
      <c r="G68" s="14"/>
      <c r="H68" s="14"/>
      <c r="I68" s="122"/>
      <c r="J68" s="122"/>
      <c r="K68" s="123"/>
    </row>
    <row r="69" s="54" customFormat="1" ht="15"/>
    <row r="70" s="54" customFormat="1" ht="15"/>
    <row r="71" s="54" customFormat="1" ht="15"/>
    <row r="72" s="54" customFormat="1" ht="15"/>
  </sheetData>
  <sheetProtection password="C8D5" sheet="1" selectLockedCells="1"/>
  <mergeCells count="56">
    <mergeCell ref="C16:G16"/>
    <mergeCell ref="B17:H17"/>
    <mergeCell ref="A67:K67"/>
    <mergeCell ref="H65:K65"/>
    <mergeCell ref="A3:K3"/>
    <mergeCell ref="A4:K4"/>
    <mergeCell ref="B6:F6"/>
    <mergeCell ref="G6:I6"/>
    <mergeCell ref="C30:H30"/>
    <mergeCell ref="C31:H31"/>
    <mergeCell ref="C14:H14"/>
    <mergeCell ref="A2:K2"/>
    <mergeCell ref="B7:H7"/>
    <mergeCell ref="B8:H8"/>
    <mergeCell ref="C9:H9"/>
    <mergeCell ref="C10:H10"/>
    <mergeCell ref="C11:H11"/>
    <mergeCell ref="B13:H13"/>
    <mergeCell ref="B12:H12"/>
    <mergeCell ref="B34:H34"/>
    <mergeCell ref="B45:H45"/>
    <mergeCell ref="B20:H20"/>
    <mergeCell ref="B35:H35"/>
    <mergeCell ref="C36:G36"/>
    <mergeCell ref="C37:G37"/>
    <mergeCell ref="C40:G40"/>
    <mergeCell ref="C41:G41"/>
    <mergeCell ref="C42:G42"/>
    <mergeCell ref="C29:H29"/>
    <mergeCell ref="B47:H47"/>
    <mergeCell ref="A1:K1"/>
    <mergeCell ref="B46:H46"/>
    <mergeCell ref="B21:H21"/>
    <mergeCell ref="C22:E22"/>
    <mergeCell ref="C23:D23"/>
    <mergeCell ref="C38:G38"/>
    <mergeCell ref="C26:H26"/>
    <mergeCell ref="C39:G39"/>
    <mergeCell ref="C27:H27"/>
    <mergeCell ref="C28:H28"/>
    <mergeCell ref="B55:G55"/>
    <mergeCell ref="B56:G56"/>
    <mergeCell ref="D57:E57"/>
    <mergeCell ref="C25:H25"/>
    <mergeCell ref="B53:G53"/>
    <mergeCell ref="B54:G54"/>
    <mergeCell ref="C43:H43"/>
    <mergeCell ref="C49:H49"/>
    <mergeCell ref="C50:H50"/>
    <mergeCell ref="C51:H51"/>
    <mergeCell ref="C52:H52"/>
    <mergeCell ref="B61:G61"/>
    <mergeCell ref="A65:G65"/>
    <mergeCell ref="D58:E58"/>
    <mergeCell ref="D59:E59"/>
    <mergeCell ref="C60:F60"/>
  </mergeCells>
  <printOptions/>
  <pageMargins left="0.7" right="0.7" top="0.75" bottom="0.75" header="0.3" footer="0.3"/>
  <pageSetup fitToHeight="1" fitToWidth="1" horizontalDpi="600" verticalDpi="600" orientation="portrait" paperSize="5" scale="90" r:id="rId2"/>
  <headerFooter>
    <oddHeader>&amp;Rwww.apteacher.net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1"/>
  <sheetViews>
    <sheetView showGridLines="0" showRowColHeaders="0" zoomScalePageLayoutView="0" workbookViewId="0" topLeftCell="A1">
      <selection activeCell="M37" sqref="M37"/>
    </sheetView>
  </sheetViews>
  <sheetFormatPr defaultColWidth="9.140625" defaultRowHeight="15"/>
  <cols>
    <col min="1" max="1" width="4.28125" style="53" customWidth="1"/>
    <col min="2" max="2" width="3.00390625" style="53" customWidth="1"/>
    <col min="3" max="3" width="15.7109375" style="53" customWidth="1"/>
    <col min="4" max="4" width="15.00390625" style="53" customWidth="1"/>
    <col min="5" max="5" width="2.8515625" style="53" customWidth="1"/>
    <col min="6" max="6" width="9.28125" style="53" customWidth="1"/>
    <col min="7" max="7" width="0.71875" style="53" customWidth="1"/>
    <col min="8" max="8" width="2.8515625" style="53" customWidth="1"/>
    <col min="9" max="9" width="10.00390625" style="53" customWidth="1"/>
    <col min="10" max="10" width="2.8515625" style="53" customWidth="1"/>
    <col min="11" max="11" width="10.00390625" style="53" customWidth="1"/>
    <col min="12" max="12" width="2.8515625" style="53" customWidth="1"/>
    <col min="13" max="13" width="10.7109375" style="53" customWidth="1"/>
    <col min="14" max="16384" width="9.140625" style="53" customWidth="1"/>
  </cols>
  <sheetData>
    <row r="1" spans="1:13" ht="21.75" thickTop="1">
      <c r="A1" s="549" t="s">
        <v>233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/>
    </row>
    <row r="2" spans="1:13" ht="15">
      <c r="A2" s="552" t="s">
        <v>169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4"/>
    </row>
    <row r="3" spans="1:13" ht="13.5" customHeight="1">
      <c r="A3" s="552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4"/>
    </row>
    <row r="4" spans="1:13" ht="15">
      <c r="A4" s="555" t="s">
        <v>236</v>
      </c>
      <c r="B4" s="556"/>
      <c r="C4" s="556"/>
      <c r="D4" s="556"/>
      <c r="E4" s="556"/>
      <c r="F4" s="556"/>
      <c r="G4" s="556"/>
      <c r="H4" s="557" t="s">
        <v>170</v>
      </c>
      <c r="I4" s="556"/>
      <c r="J4" s="556"/>
      <c r="K4" s="556"/>
      <c r="L4" s="556"/>
      <c r="M4" s="558"/>
    </row>
    <row r="5" spans="1:13" ht="15.75">
      <c r="A5" s="559" t="str">
        <f>DATA!AO21</f>
        <v>M.Venkateswarlu</v>
      </c>
      <c r="B5" s="560"/>
      <c r="C5" s="560"/>
      <c r="D5" s="560"/>
      <c r="E5" s="560"/>
      <c r="F5" s="560"/>
      <c r="G5" s="560"/>
      <c r="H5" s="531" t="str">
        <f>DATA!AM3</f>
        <v>S.Malathi</v>
      </c>
      <c r="I5" s="532"/>
      <c r="J5" s="532"/>
      <c r="K5" s="532"/>
      <c r="L5" s="532"/>
      <c r="M5" s="561"/>
    </row>
    <row r="6" spans="1:13" ht="15.75">
      <c r="A6" s="559" t="str">
        <f>DATA!AU21</f>
        <v>MEO,GD Nellore</v>
      </c>
      <c r="B6" s="560"/>
      <c r="C6" s="560"/>
      <c r="D6" s="560"/>
      <c r="E6" s="560"/>
      <c r="F6" s="560"/>
      <c r="G6" s="560"/>
      <c r="H6" s="531" t="str">
        <f>DATA!AW3</f>
        <v>S.A(MM)</v>
      </c>
      <c r="I6" s="532"/>
      <c r="J6" s="532"/>
      <c r="K6" s="532"/>
      <c r="L6" s="532"/>
      <c r="M6" s="561"/>
    </row>
    <row r="7" spans="1:13" ht="15.75">
      <c r="A7" s="562" t="str">
        <f>DATA!AS22</f>
        <v>G.D Nellore</v>
      </c>
      <c r="B7" s="563"/>
      <c r="C7" s="563"/>
      <c r="D7" s="563"/>
      <c r="E7" s="563"/>
      <c r="F7" s="563"/>
      <c r="G7" s="563"/>
      <c r="H7" s="531" t="str">
        <f>DATA!AL4</f>
        <v>MPPS,MD Mangalam</v>
      </c>
      <c r="I7" s="532"/>
      <c r="J7" s="532"/>
      <c r="K7" s="532"/>
      <c r="L7" s="532"/>
      <c r="M7" s="561"/>
    </row>
    <row r="8" spans="1:13" ht="16.5" thickBot="1">
      <c r="A8" s="562"/>
      <c r="B8" s="563"/>
      <c r="C8" s="563"/>
      <c r="D8" s="563"/>
      <c r="E8" s="563"/>
      <c r="F8" s="563"/>
      <c r="G8" s="563"/>
      <c r="H8" s="531" t="str">
        <f>DATA!AS4</f>
        <v>GD Nellore </v>
      </c>
      <c r="I8" s="532"/>
      <c r="J8" s="532"/>
      <c r="K8" s="532"/>
      <c r="L8" s="532"/>
      <c r="M8" s="561"/>
    </row>
    <row r="9" spans="1:13" ht="15.75" thickBot="1">
      <c r="A9" s="564" t="s">
        <v>171</v>
      </c>
      <c r="B9" s="565"/>
      <c r="C9" s="566"/>
      <c r="D9" s="567" t="s">
        <v>172</v>
      </c>
      <c r="E9" s="565"/>
      <c r="F9" s="566"/>
      <c r="G9" s="56"/>
      <c r="H9" s="568" t="s">
        <v>173</v>
      </c>
      <c r="I9" s="569"/>
      <c r="J9" s="570"/>
      <c r="K9" s="567" t="s">
        <v>172</v>
      </c>
      <c r="L9" s="565"/>
      <c r="M9" s="571"/>
    </row>
    <row r="10" spans="1:13" ht="22.5" customHeight="1">
      <c r="A10" s="572" t="s">
        <v>174</v>
      </c>
      <c r="B10" s="573"/>
      <c r="C10" s="573"/>
      <c r="D10" s="573"/>
      <c r="E10" s="573"/>
      <c r="F10" s="573"/>
      <c r="G10" s="574"/>
      <c r="H10" s="573"/>
      <c r="I10" s="573"/>
      <c r="J10" s="573"/>
      <c r="K10" s="573"/>
      <c r="L10" s="573"/>
      <c r="M10" s="575"/>
    </row>
    <row r="11" spans="1:13" ht="15">
      <c r="A11" s="576" t="s">
        <v>175</v>
      </c>
      <c r="B11" s="577"/>
      <c r="C11" s="577"/>
      <c r="D11" s="577" t="s">
        <v>176</v>
      </c>
      <c r="E11" s="577"/>
      <c r="F11" s="577"/>
      <c r="G11" s="577"/>
      <c r="H11" s="577" t="s">
        <v>177</v>
      </c>
      <c r="I11" s="577"/>
      <c r="J11" s="577"/>
      <c r="K11" s="578"/>
      <c r="L11" s="579" t="s">
        <v>178</v>
      </c>
      <c r="M11" s="580"/>
    </row>
    <row r="12" spans="1:13" ht="15">
      <c r="A12" s="576">
        <v>1</v>
      </c>
      <c r="B12" s="577"/>
      <c r="C12" s="577"/>
      <c r="D12" s="577"/>
      <c r="E12" s="577"/>
      <c r="F12" s="577"/>
      <c r="G12" s="577"/>
      <c r="H12" s="577" t="s">
        <v>179</v>
      </c>
      <c r="I12" s="577"/>
      <c r="J12" s="577" t="s">
        <v>180</v>
      </c>
      <c r="K12" s="578"/>
      <c r="L12" s="578" t="s">
        <v>181</v>
      </c>
      <c r="M12" s="581"/>
    </row>
    <row r="13" spans="1:13" ht="15">
      <c r="A13" s="582">
        <v>2</v>
      </c>
      <c r="B13" s="583"/>
      <c r="C13" s="583"/>
      <c r="D13" s="583"/>
      <c r="E13" s="583"/>
      <c r="F13" s="583"/>
      <c r="G13" s="583"/>
      <c r="H13" s="584" t="s">
        <v>378</v>
      </c>
      <c r="I13" s="585"/>
      <c r="J13" s="584" t="s">
        <v>379</v>
      </c>
      <c r="K13" s="590"/>
      <c r="L13" s="587" t="s">
        <v>380</v>
      </c>
      <c r="M13" s="593"/>
    </row>
    <row r="14" spans="1:13" ht="15">
      <c r="A14" s="582">
        <v>3</v>
      </c>
      <c r="B14" s="583"/>
      <c r="C14" s="583"/>
      <c r="D14" s="583"/>
      <c r="E14" s="583"/>
      <c r="F14" s="583"/>
      <c r="G14" s="583"/>
      <c r="H14" s="586"/>
      <c r="I14" s="587"/>
      <c r="J14" s="586"/>
      <c r="K14" s="591"/>
      <c r="L14" s="587"/>
      <c r="M14" s="593"/>
    </row>
    <row r="15" spans="1:13" ht="15">
      <c r="A15" s="582">
        <v>4</v>
      </c>
      <c r="B15" s="583"/>
      <c r="C15" s="583"/>
      <c r="D15" s="583"/>
      <c r="E15" s="583"/>
      <c r="F15" s="583"/>
      <c r="G15" s="583"/>
      <c r="H15" s="588"/>
      <c r="I15" s="589"/>
      <c r="J15" s="588"/>
      <c r="K15" s="592"/>
      <c r="L15" s="589"/>
      <c r="M15" s="594"/>
    </row>
    <row r="16" spans="1:13" ht="16.5">
      <c r="A16" s="595" t="s">
        <v>182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7"/>
    </row>
    <row r="17" spans="1:13" ht="6" customHeight="1">
      <c r="A17" s="598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600"/>
    </row>
    <row r="18" spans="1:13" ht="15">
      <c r="A18" s="272">
        <v>1</v>
      </c>
      <c r="B18" s="601" t="s">
        <v>183</v>
      </c>
      <c r="C18" s="602"/>
      <c r="D18" s="275"/>
      <c r="E18" s="275"/>
      <c r="F18" s="275"/>
      <c r="G18" s="275"/>
      <c r="H18" s="276" t="s">
        <v>113</v>
      </c>
      <c r="I18" s="277">
        <f>'Salary Details'!L23</f>
        <v>409316</v>
      </c>
      <c r="J18" s="278"/>
      <c r="K18" s="279"/>
      <c r="L18" s="278"/>
      <c r="M18" s="280"/>
    </row>
    <row r="19" spans="1:13" ht="15">
      <c r="A19" s="272"/>
      <c r="B19" s="281" t="s">
        <v>115</v>
      </c>
      <c r="C19" s="603" t="s">
        <v>184</v>
      </c>
      <c r="D19" s="603"/>
      <c r="E19" s="603"/>
      <c r="F19" s="603"/>
      <c r="G19" s="603"/>
      <c r="H19" s="283" t="s">
        <v>113</v>
      </c>
      <c r="I19" s="284">
        <v>0</v>
      </c>
      <c r="J19" s="278"/>
      <c r="K19" s="279"/>
      <c r="L19" s="278"/>
      <c r="M19" s="280"/>
    </row>
    <row r="20" spans="1:13" ht="15">
      <c r="A20" s="272"/>
      <c r="B20" s="281" t="s">
        <v>116</v>
      </c>
      <c r="C20" s="603" t="s">
        <v>185</v>
      </c>
      <c r="D20" s="603"/>
      <c r="E20" s="603"/>
      <c r="F20" s="603"/>
      <c r="G20" s="603"/>
      <c r="H20" s="283" t="s">
        <v>113</v>
      </c>
      <c r="I20" s="284">
        <v>0</v>
      </c>
      <c r="J20" s="278"/>
      <c r="K20" s="279"/>
      <c r="L20" s="278"/>
      <c r="M20" s="280"/>
    </row>
    <row r="21" spans="1:13" ht="15">
      <c r="A21" s="272"/>
      <c r="B21" s="281"/>
      <c r="C21" s="603" t="s">
        <v>186</v>
      </c>
      <c r="D21" s="603"/>
      <c r="E21" s="603"/>
      <c r="F21" s="603"/>
      <c r="G21" s="603"/>
      <c r="H21" s="285"/>
      <c r="I21" s="286"/>
      <c r="J21" s="278"/>
      <c r="K21" s="279"/>
      <c r="L21" s="278"/>
      <c r="M21" s="280"/>
    </row>
    <row r="22" spans="1:13" ht="15">
      <c r="A22" s="272"/>
      <c r="B22" s="281" t="s">
        <v>117</v>
      </c>
      <c r="C22" s="603" t="s">
        <v>187</v>
      </c>
      <c r="D22" s="603"/>
      <c r="E22" s="603"/>
      <c r="F22" s="603"/>
      <c r="G22" s="603"/>
      <c r="H22" s="276" t="s">
        <v>113</v>
      </c>
      <c r="I22" s="287">
        <v>0</v>
      </c>
      <c r="J22" s="278"/>
      <c r="K22" s="279"/>
      <c r="L22" s="278"/>
      <c r="M22" s="280"/>
    </row>
    <row r="23" spans="1:13" ht="15">
      <c r="A23" s="272"/>
      <c r="B23" s="281"/>
      <c r="C23" s="603" t="s">
        <v>188</v>
      </c>
      <c r="D23" s="603"/>
      <c r="E23" s="603"/>
      <c r="F23" s="603"/>
      <c r="G23" s="603"/>
      <c r="H23" s="288"/>
      <c r="I23" s="289"/>
      <c r="J23" s="278"/>
      <c r="K23" s="279"/>
      <c r="L23" s="278"/>
      <c r="M23" s="280"/>
    </row>
    <row r="24" spans="1:13" ht="15">
      <c r="A24" s="272"/>
      <c r="B24" s="281" t="s">
        <v>125</v>
      </c>
      <c r="C24" s="290" t="s">
        <v>189</v>
      </c>
      <c r="D24" s="275"/>
      <c r="E24" s="275"/>
      <c r="F24" s="275"/>
      <c r="G24" s="275"/>
      <c r="H24" s="291" t="s">
        <v>113</v>
      </c>
      <c r="I24" s="292">
        <f>I18</f>
        <v>409316</v>
      </c>
      <c r="J24" s="278"/>
      <c r="K24" s="279"/>
      <c r="L24" s="278" t="s">
        <v>113</v>
      </c>
      <c r="M24" s="293">
        <f>I24</f>
        <v>409316</v>
      </c>
    </row>
    <row r="25" spans="1:13" ht="15">
      <c r="A25" s="272">
        <v>2</v>
      </c>
      <c r="B25" s="606" t="s">
        <v>190</v>
      </c>
      <c r="C25" s="603"/>
      <c r="D25" s="603"/>
      <c r="E25" s="603"/>
      <c r="F25" s="603"/>
      <c r="G25" s="603"/>
      <c r="H25" s="291"/>
      <c r="I25" s="294"/>
      <c r="J25" s="295"/>
      <c r="K25" s="279"/>
      <c r="L25" s="278"/>
      <c r="M25" s="280"/>
    </row>
    <row r="26" spans="1:13" ht="15">
      <c r="A26" s="272"/>
      <c r="B26" s="281" t="s">
        <v>115</v>
      </c>
      <c r="C26" s="282" t="s">
        <v>191</v>
      </c>
      <c r="D26" s="282"/>
      <c r="E26" s="296"/>
      <c r="F26" s="296"/>
      <c r="G26" s="297"/>
      <c r="H26" s="298" t="s">
        <v>113</v>
      </c>
      <c r="I26" s="299">
        <f>'Salary Details'!E23</f>
        <v>36404</v>
      </c>
      <c r="J26" s="295"/>
      <c r="K26" s="279"/>
      <c r="L26" s="278"/>
      <c r="M26" s="280"/>
    </row>
    <row r="27" spans="1:13" ht="15">
      <c r="A27" s="272"/>
      <c r="B27" s="281" t="s">
        <v>116</v>
      </c>
      <c r="C27" s="603" t="s">
        <v>192</v>
      </c>
      <c r="D27" s="603"/>
      <c r="E27" s="282"/>
      <c r="F27" s="296"/>
      <c r="G27" s="297"/>
      <c r="H27" s="298" t="s">
        <v>113</v>
      </c>
      <c r="I27" s="300">
        <v>0</v>
      </c>
      <c r="J27" s="295"/>
      <c r="K27" s="279"/>
      <c r="L27" s="301" t="s">
        <v>113</v>
      </c>
      <c r="M27" s="110">
        <f>I26+I27</f>
        <v>36404</v>
      </c>
    </row>
    <row r="28" spans="1:13" ht="15">
      <c r="A28" s="272">
        <v>3</v>
      </c>
      <c r="B28" s="601" t="s">
        <v>193</v>
      </c>
      <c r="C28" s="602"/>
      <c r="D28" s="602"/>
      <c r="E28" s="602"/>
      <c r="F28" s="602"/>
      <c r="G28" s="607"/>
      <c r="H28" s="275"/>
      <c r="I28" s="294"/>
      <c r="J28" s="295"/>
      <c r="K28" s="279"/>
      <c r="L28" s="278" t="s">
        <v>113</v>
      </c>
      <c r="M28" s="293">
        <f>M24-M27</f>
        <v>372912</v>
      </c>
    </row>
    <row r="29" spans="1:13" ht="15">
      <c r="A29" s="272">
        <v>4</v>
      </c>
      <c r="B29" s="601" t="s">
        <v>124</v>
      </c>
      <c r="C29" s="602"/>
      <c r="D29" s="602"/>
      <c r="E29" s="602"/>
      <c r="F29" s="602"/>
      <c r="G29" s="607"/>
      <c r="H29" s="275"/>
      <c r="I29" s="294"/>
      <c r="J29" s="295"/>
      <c r="K29" s="279"/>
      <c r="L29" s="278"/>
      <c r="M29" s="280"/>
    </row>
    <row r="30" spans="1:13" ht="15">
      <c r="A30" s="272"/>
      <c r="B30" s="281" t="s">
        <v>115</v>
      </c>
      <c r="C30" s="282" t="s">
        <v>194</v>
      </c>
      <c r="D30" s="282"/>
      <c r="E30" s="296"/>
      <c r="F30" s="296"/>
      <c r="G30" s="302"/>
      <c r="H30" s="298" t="s">
        <v>113</v>
      </c>
      <c r="I30" s="300">
        <v>0</v>
      </c>
      <c r="J30" s="295"/>
      <c r="K30" s="279"/>
      <c r="L30" s="278"/>
      <c r="M30" s="280"/>
    </row>
    <row r="31" spans="1:13" ht="15">
      <c r="A31" s="272"/>
      <c r="B31" s="281" t="s">
        <v>116</v>
      </c>
      <c r="C31" s="282" t="s">
        <v>195</v>
      </c>
      <c r="D31" s="282"/>
      <c r="E31" s="275"/>
      <c r="F31" s="296"/>
      <c r="G31" s="302"/>
      <c r="H31" s="298" t="s">
        <v>113</v>
      </c>
      <c r="I31" s="299">
        <f>'Salary Details'!P23</f>
        <v>2400</v>
      </c>
      <c r="J31" s="295"/>
      <c r="K31" s="279"/>
      <c r="L31" s="278"/>
      <c r="M31" s="280"/>
    </row>
    <row r="32" spans="1:13" ht="15">
      <c r="A32" s="272">
        <v>5</v>
      </c>
      <c r="B32" s="601" t="s">
        <v>196</v>
      </c>
      <c r="C32" s="602"/>
      <c r="D32" s="602"/>
      <c r="E32" s="602"/>
      <c r="F32" s="602"/>
      <c r="G32" s="602"/>
      <c r="H32" s="291"/>
      <c r="I32" s="303"/>
      <c r="J32" s="278"/>
      <c r="K32" s="279"/>
      <c r="L32" s="301" t="s">
        <v>113</v>
      </c>
      <c r="M32" s="110">
        <f>I31</f>
        <v>2400</v>
      </c>
    </row>
    <row r="33" spans="1:13" ht="15">
      <c r="A33" s="272">
        <v>6</v>
      </c>
      <c r="B33" s="606" t="s">
        <v>197</v>
      </c>
      <c r="C33" s="603"/>
      <c r="D33" s="603"/>
      <c r="E33" s="603"/>
      <c r="F33" s="603"/>
      <c r="G33" s="603"/>
      <c r="H33" s="291"/>
      <c r="I33" s="303"/>
      <c r="J33" s="278"/>
      <c r="K33" s="279"/>
      <c r="L33" s="304" t="s">
        <v>113</v>
      </c>
      <c r="M33" s="305">
        <f>M28-M32</f>
        <v>370512</v>
      </c>
    </row>
    <row r="34" spans="1:13" ht="15">
      <c r="A34" s="272">
        <v>7</v>
      </c>
      <c r="B34" s="606" t="s">
        <v>198</v>
      </c>
      <c r="C34" s="603"/>
      <c r="D34" s="603"/>
      <c r="E34" s="603"/>
      <c r="F34" s="603"/>
      <c r="G34" s="603"/>
      <c r="H34" s="291"/>
      <c r="I34" s="303"/>
      <c r="J34" s="278"/>
      <c r="K34" s="279"/>
      <c r="L34" s="306" t="s">
        <v>113</v>
      </c>
      <c r="M34" s="307">
        <v>0</v>
      </c>
    </row>
    <row r="35" spans="1:13" ht="15">
      <c r="A35" s="272"/>
      <c r="B35" s="606" t="s">
        <v>199</v>
      </c>
      <c r="C35" s="603"/>
      <c r="D35" s="603"/>
      <c r="E35" s="603"/>
      <c r="F35" s="603"/>
      <c r="G35" s="603"/>
      <c r="H35" s="291"/>
      <c r="I35" s="303"/>
      <c r="J35" s="278"/>
      <c r="K35" s="279"/>
      <c r="L35" s="306" t="s">
        <v>113</v>
      </c>
      <c r="M35" s="307">
        <v>0</v>
      </c>
    </row>
    <row r="36" spans="1:13" ht="15">
      <c r="A36" s="272"/>
      <c r="B36" s="606" t="s">
        <v>200</v>
      </c>
      <c r="C36" s="603"/>
      <c r="D36" s="603"/>
      <c r="E36" s="603"/>
      <c r="F36" s="603"/>
      <c r="G36" s="603"/>
      <c r="H36" s="291"/>
      <c r="I36" s="303"/>
      <c r="J36" s="278"/>
      <c r="K36" s="279"/>
      <c r="L36" s="308" t="s">
        <v>113</v>
      </c>
      <c r="M36" s="309">
        <f>'Income Tax Form'!K19</f>
        <v>0</v>
      </c>
    </row>
    <row r="37" spans="1:13" ht="16.5">
      <c r="A37" s="272">
        <v>8</v>
      </c>
      <c r="B37" s="601" t="s">
        <v>201</v>
      </c>
      <c r="C37" s="602"/>
      <c r="D37" s="602"/>
      <c r="E37" s="310"/>
      <c r="F37" s="310"/>
      <c r="G37" s="275"/>
      <c r="H37" s="291"/>
      <c r="I37" s="303"/>
      <c r="J37" s="278"/>
      <c r="K37" s="279"/>
      <c r="L37" s="278" t="s">
        <v>113</v>
      </c>
      <c r="M37" s="293">
        <f>SUM(M34:M36)+M33</f>
        <v>370512</v>
      </c>
    </row>
    <row r="38" spans="1:13" ht="15">
      <c r="A38" s="272">
        <v>9</v>
      </c>
      <c r="B38" s="601" t="s">
        <v>202</v>
      </c>
      <c r="C38" s="602"/>
      <c r="D38" s="602"/>
      <c r="E38" s="602"/>
      <c r="F38" s="602"/>
      <c r="G38" s="275"/>
      <c r="H38" s="291"/>
      <c r="I38" s="311"/>
      <c r="J38" s="278"/>
      <c r="K38" s="279"/>
      <c r="L38" s="278"/>
      <c r="M38" s="280"/>
    </row>
    <row r="39" spans="1:13" ht="15">
      <c r="A39" s="312" t="s">
        <v>203</v>
      </c>
      <c r="B39" s="601" t="s">
        <v>204</v>
      </c>
      <c r="C39" s="602"/>
      <c r="D39" s="602"/>
      <c r="E39" s="274"/>
      <c r="F39" s="313" t="s">
        <v>205</v>
      </c>
      <c r="G39" s="282"/>
      <c r="H39" s="604" t="s">
        <v>206</v>
      </c>
      <c r="I39" s="605"/>
      <c r="J39" s="604" t="s">
        <v>207</v>
      </c>
      <c r="K39" s="605"/>
      <c r="L39" s="275"/>
      <c r="M39" s="280"/>
    </row>
    <row r="40" spans="1:13" ht="15">
      <c r="A40" s="272"/>
      <c r="B40" s="273" t="s">
        <v>115</v>
      </c>
      <c r="C40" s="274" t="s">
        <v>208</v>
      </c>
      <c r="D40" s="314"/>
      <c r="E40" s="314"/>
      <c r="F40" s="313" t="s">
        <v>209</v>
      </c>
      <c r="G40" s="282"/>
      <c r="H40" s="281"/>
      <c r="I40" s="297" t="s">
        <v>209</v>
      </c>
      <c r="J40" s="282"/>
      <c r="K40" s="297" t="s">
        <v>209</v>
      </c>
      <c r="L40" s="275"/>
      <c r="M40" s="280"/>
    </row>
    <row r="41" spans="1:13" ht="15">
      <c r="A41" s="272"/>
      <c r="B41" s="315" t="s">
        <v>210</v>
      </c>
      <c r="C41" s="278" t="s">
        <v>211</v>
      </c>
      <c r="D41" s="278"/>
      <c r="E41" s="316" t="s">
        <v>113</v>
      </c>
      <c r="F41" s="300">
        <f>'Income Tax Form'!K22</f>
        <v>42174</v>
      </c>
      <c r="G41" s="316"/>
      <c r="H41" s="306" t="s">
        <v>113</v>
      </c>
      <c r="I41" s="284">
        <f>F41</f>
        <v>42174</v>
      </c>
      <c r="J41" s="316" t="s">
        <v>113</v>
      </c>
      <c r="K41" s="284">
        <f>I41</f>
        <v>42174</v>
      </c>
      <c r="L41" s="278"/>
      <c r="M41" s="280"/>
    </row>
    <row r="42" spans="1:13" ht="15">
      <c r="A42" s="272"/>
      <c r="B42" s="315" t="s">
        <v>212</v>
      </c>
      <c r="C42" s="278" t="s">
        <v>213</v>
      </c>
      <c r="D42" s="278"/>
      <c r="E42" s="316" t="s">
        <v>113</v>
      </c>
      <c r="F42" s="300">
        <f>'Income Tax Form'!K23</f>
        <v>5400</v>
      </c>
      <c r="G42" s="316"/>
      <c r="H42" s="306" t="s">
        <v>113</v>
      </c>
      <c r="I42" s="284">
        <f aca="true" t="shared" si="0" ref="I42:I51">F42</f>
        <v>5400</v>
      </c>
      <c r="J42" s="316" t="s">
        <v>113</v>
      </c>
      <c r="K42" s="284">
        <f aca="true" t="shared" si="1" ref="K42:K51">I42</f>
        <v>5400</v>
      </c>
      <c r="L42" s="278"/>
      <c r="M42" s="280"/>
    </row>
    <row r="43" spans="1:13" ht="15">
      <c r="A43" s="272"/>
      <c r="B43" s="315" t="s">
        <v>214</v>
      </c>
      <c r="C43" s="278" t="s">
        <v>215</v>
      </c>
      <c r="D43" s="278"/>
      <c r="E43" s="316" t="s">
        <v>113</v>
      </c>
      <c r="F43" s="300">
        <f>'Income Tax Form'!K24</f>
        <v>360</v>
      </c>
      <c r="G43" s="316"/>
      <c r="H43" s="306" t="s">
        <v>113</v>
      </c>
      <c r="I43" s="284">
        <f t="shared" si="0"/>
        <v>360</v>
      </c>
      <c r="J43" s="316" t="s">
        <v>113</v>
      </c>
      <c r="K43" s="284">
        <f t="shared" si="1"/>
        <v>360</v>
      </c>
      <c r="L43" s="278"/>
      <c r="M43" s="280"/>
    </row>
    <row r="44" spans="1:13" ht="15">
      <c r="A44" s="272"/>
      <c r="B44" s="315" t="s">
        <v>216</v>
      </c>
      <c r="C44" s="608" t="str">
        <f>DATA!C100</f>
        <v>LIC Annual Premiums </v>
      </c>
      <c r="D44" s="608"/>
      <c r="E44" s="316" t="s">
        <v>113</v>
      </c>
      <c r="F44" s="300">
        <f>'Income Tax Form'!K25</f>
        <v>2500</v>
      </c>
      <c r="G44" s="316"/>
      <c r="H44" s="306" t="s">
        <v>113</v>
      </c>
      <c r="I44" s="284">
        <f t="shared" si="0"/>
        <v>2500</v>
      </c>
      <c r="J44" s="316" t="s">
        <v>113</v>
      </c>
      <c r="K44" s="284">
        <f t="shared" si="1"/>
        <v>2500</v>
      </c>
      <c r="L44" s="278"/>
      <c r="M44" s="280"/>
    </row>
    <row r="45" spans="1:13" ht="15">
      <c r="A45" s="272"/>
      <c r="B45" s="315" t="s">
        <v>217</v>
      </c>
      <c r="C45" s="608" t="str">
        <f>DATA!C101</f>
        <v>Tution Fee for 2 Chidren</v>
      </c>
      <c r="D45" s="608"/>
      <c r="E45" s="316" t="s">
        <v>113</v>
      </c>
      <c r="F45" s="300">
        <f>'Income Tax Form'!K26</f>
        <v>20000</v>
      </c>
      <c r="G45" s="316"/>
      <c r="H45" s="306" t="s">
        <v>113</v>
      </c>
      <c r="I45" s="284">
        <f t="shared" si="0"/>
        <v>20000</v>
      </c>
      <c r="J45" s="316" t="s">
        <v>113</v>
      </c>
      <c r="K45" s="284">
        <f t="shared" si="1"/>
        <v>20000</v>
      </c>
      <c r="L45" s="278"/>
      <c r="M45" s="280"/>
    </row>
    <row r="46" spans="1:13" ht="15">
      <c r="A46" s="272"/>
      <c r="B46" s="315" t="s">
        <v>218</v>
      </c>
      <c r="C46" s="278" t="str">
        <f>DATA!C102</f>
        <v>Repayment of Home Loan Premium</v>
      </c>
      <c r="D46" s="278"/>
      <c r="E46" s="316" t="s">
        <v>113</v>
      </c>
      <c r="F46" s="300">
        <f>'Income Tax Form'!K27</f>
        <v>0</v>
      </c>
      <c r="G46" s="316"/>
      <c r="H46" s="306" t="s">
        <v>113</v>
      </c>
      <c r="I46" s="284">
        <f t="shared" si="0"/>
        <v>0</v>
      </c>
      <c r="J46" s="316" t="s">
        <v>113</v>
      </c>
      <c r="K46" s="284">
        <f t="shared" si="1"/>
        <v>0</v>
      </c>
      <c r="L46" s="278"/>
      <c r="M46" s="280"/>
    </row>
    <row r="47" spans="1:13" ht="15">
      <c r="A47" s="272"/>
      <c r="B47" s="315" t="s">
        <v>219</v>
      </c>
      <c r="C47" s="278" t="str">
        <f>DATA!C103</f>
        <v>PLI Annual Premuim</v>
      </c>
      <c r="D47" s="278"/>
      <c r="E47" s="316" t="s">
        <v>113</v>
      </c>
      <c r="F47" s="300">
        <f>'Income Tax Form'!K28</f>
        <v>1200</v>
      </c>
      <c r="G47" s="316"/>
      <c r="H47" s="306" t="s">
        <v>113</v>
      </c>
      <c r="I47" s="284">
        <f t="shared" si="0"/>
        <v>1200</v>
      </c>
      <c r="J47" s="316" t="s">
        <v>113</v>
      </c>
      <c r="K47" s="284">
        <f t="shared" si="1"/>
        <v>1200</v>
      </c>
      <c r="L47" s="278"/>
      <c r="M47" s="280"/>
    </row>
    <row r="48" spans="1:13" ht="15">
      <c r="A48" s="272"/>
      <c r="B48" s="315" t="s">
        <v>220</v>
      </c>
      <c r="C48" s="278" t="str">
        <f>DATA!C104</f>
        <v>5 Years Fixed Deposits </v>
      </c>
      <c r="D48" s="278"/>
      <c r="E48" s="316" t="s">
        <v>113</v>
      </c>
      <c r="F48" s="300">
        <f>'Income Tax Form'!K29</f>
        <v>0</v>
      </c>
      <c r="G48" s="316"/>
      <c r="H48" s="306" t="s">
        <v>113</v>
      </c>
      <c r="I48" s="284">
        <f t="shared" si="0"/>
        <v>0</v>
      </c>
      <c r="J48" s="316" t="s">
        <v>113</v>
      </c>
      <c r="K48" s="284">
        <f t="shared" si="1"/>
        <v>0</v>
      </c>
      <c r="L48" s="295"/>
      <c r="M48" s="280"/>
    </row>
    <row r="49" spans="1:13" ht="15">
      <c r="A49" s="272"/>
      <c r="B49" s="315" t="s">
        <v>221</v>
      </c>
      <c r="C49" s="278" t="str">
        <f>DATA!C105</f>
        <v>Unit Linked Insurance Plan</v>
      </c>
      <c r="D49" s="278"/>
      <c r="E49" s="317" t="s">
        <v>113</v>
      </c>
      <c r="F49" s="300">
        <f>'Income Tax Form'!K30</f>
        <v>0</v>
      </c>
      <c r="G49" s="318"/>
      <c r="H49" s="319" t="s">
        <v>113</v>
      </c>
      <c r="I49" s="284">
        <f t="shared" si="0"/>
        <v>0</v>
      </c>
      <c r="J49" s="317" t="s">
        <v>113</v>
      </c>
      <c r="K49" s="284">
        <f t="shared" si="1"/>
        <v>0</v>
      </c>
      <c r="L49" s="295"/>
      <c r="M49" s="280"/>
    </row>
    <row r="50" spans="1:13" ht="15">
      <c r="A50" s="272"/>
      <c r="B50" s="315" t="s">
        <v>222</v>
      </c>
      <c r="C50" s="278" t="str">
        <f>DATA!C106</f>
        <v>Others U/s 80 C</v>
      </c>
      <c r="D50" s="278"/>
      <c r="E50" s="278" t="s">
        <v>113</v>
      </c>
      <c r="F50" s="300">
        <f>'Income Tax Form'!K31</f>
        <v>0</v>
      </c>
      <c r="G50" s="320"/>
      <c r="H50" s="295" t="s">
        <v>113</v>
      </c>
      <c r="I50" s="284">
        <f t="shared" si="0"/>
        <v>0</v>
      </c>
      <c r="J50" s="295" t="s">
        <v>113</v>
      </c>
      <c r="K50" s="284">
        <f t="shared" si="1"/>
        <v>0</v>
      </c>
      <c r="L50" s="295"/>
      <c r="M50" s="280"/>
    </row>
    <row r="51" spans="1:13" ht="15">
      <c r="A51" s="272"/>
      <c r="B51" s="315" t="s">
        <v>223</v>
      </c>
      <c r="C51" s="278" t="s">
        <v>224</v>
      </c>
      <c r="D51" s="278"/>
      <c r="E51" s="278" t="s">
        <v>113</v>
      </c>
      <c r="F51" s="300">
        <f>DATA!AV20</f>
        <v>0</v>
      </c>
      <c r="G51" s="278"/>
      <c r="H51" s="295" t="s">
        <v>113</v>
      </c>
      <c r="I51" s="284">
        <f t="shared" si="0"/>
        <v>0</v>
      </c>
      <c r="J51" s="295" t="s">
        <v>113</v>
      </c>
      <c r="K51" s="284">
        <f t="shared" si="1"/>
        <v>0</v>
      </c>
      <c r="L51" s="278"/>
      <c r="M51" s="280"/>
    </row>
    <row r="52" spans="1:13" ht="12.75" customHeight="1">
      <c r="A52" s="272"/>
      <c r="B52" s="295"/>
      <c r="C52" s="278"/>
      <c r="D52" s="278"/>
      <c r="E52" s="278"/>
      <c r="F52" s="294"/>
      <c r="G52" s="278"/>
      <c r="H52" s="613" t="s">
        <v>225</v>
      </c>
      <c r="I52" s="614"/>
      <c r="J52" s="614"/>
      <c r="K52" s="615"/>
      <c r="L52" s="321" t="s">
        <v>113</v>
      </c>
      <c r="M52" s="293">
        <f>SUM(K41:K51)</f>
        <v>71634</v>
      </c>
    </row>
    <row r="53" spans="1:13" ht="15">
      <c r="A53" s="272"/>
      <c r="B53" s="322" t="s">
        <v>116</v>
      </c>
      <c r="C53" s="323" t="s">
        <v>226</v>
      </c>
      <c r="D53" s="278"/>
      <c r="E53" s="278"/>
      <c r="F53" s="294"/>
      <c r="G53" s="278"/>
      <c r="H53" s="295"/>
      <c r="I53" s="324"/>
      <c r="J53" s="278"/>
      <c r="K53" s="324"/>
      <c r="L53" s="278"/>
      <c r="M53" s="280"/>
    </row>
    <row r="54" spans="1:13" ht="15">
      <c r="A54" s="272"/>
      <c r="B54" s="325" t="s">
        <v>210</v>
      </c>
      <c r="C54" s="608" t="s">
        <v>227</v>
      </c>
      <c r="D54" s="608"/>
      <c r="E54" s="316" t="s">
        <v>113</v>
      </c>
      <c r="F54" s="300"/>
      <c r="G54" s="316"/>
      <c r="H54" s="306" t="s">
        <v>113</v>
      </c>
      <c r="I54" s="284">
        <v>0</v>
      </c>
      <c r="J54" s="316" t="s">
        <v>113</v>
      </c>
      <c r="K54" s="284">
        <v>0</v>
      </c>
      <c r="L54" s="326" t="s">
        <v>113</v>
      </c>
      <c r="M54" s="89">
        <v>0</v>
      </c>
    </row>
    <row r="55" spans="1:13" ht="15">
      <c r="A55" s="272"/>
      <c r="B55" s="322" t="s">
        <v>117</v>
      </c>
      <c r="C55" s="323" t="s">
        <v>228</v>
      </c>
      <c r="D55" s="278"/>
      <c r="E55" s="278"/>
      <c r="F55" s="294"/>
      <c r="G55" s="278"/>
      <c r="H55" s="295"/>
      <c r="I55" s="303"/>
      <c r="J55" s="278"/>
      <c r="K55" s="303"/>
      <c r="L55" s="278"/>
      <c r="M55" s="280"/>
    </row>
    <row r="56" spans="1:13" ht="15">
      <c r="A56" s="272"/>
      <c r="B56" s="325" t="s">
        <v>210</v>
      </c>
      <c r="C56" s="608" t="s">
        <v>229</v>
      </c>
      <c r="D56" s="608"/>
      <c r="E56" s="316" t="s">
        <v>113</v>
      </c>
      <c r="F56" s="300">
        <v>0</v>
      </c>
      <c r="G56" s="316"/>
      <c r="H56" s="306" t="s">
        <v>113</v>
      </c>
      <c r="I56" s="284">
        <v>0</v>
      </c>
      <c r="J56" s="316" t="s">
        <v>113</v>
      </c>
      <c r="K56" s="284">
        <v>0</v>
      </c>
      <c r="L56" s="327" t="s">
        <v>113</v>
      </c>
      <c r="M56" s="107">
        <v>0</v>
      </c>
    </row>
    <row r="57" spans="1:13" ht="16.5">
      <c r="A57" s="272"/>
      <c r="B57" s="616" t="s">
        <v>234</v>
      </c>
      <c r="C57" s="617"/>
      <c r="D57" s="617"/>
      <c r="E57" s="617"/>
      <c r="F57" s="617"/>
      <c r="G57" s="617"/>
      <c r="H57" s="617"/>
      <c r="I57" s="617"/>
      <c r="J57" s="617"/>
      <c r="K57" s="618"/>
      <c r="L57" s="328" t="s">
        <v>113</v>
      </c>
      <c r="M57" s="329">
        <f>M52</f>
        <v>71634</v>
      </c>
    </row>
    <row r="58" spans="1:13" ht="11.25" customHeight="1">
      <c r="A58" s="330"/>
      <c r="B58" s="331"/>
      <c r="C58" s="332"/>
      <c r="D58" s="332"/>
      <c r="E58" s="332"/>
      <c r="F58" s="332"/>
      <c r="G58" s="333"/>
      <c r="H58" s="333"/>
      <c r="I58" s="333"/>
      <c r="J58" s="333"/>
      <c r="K58" s="334"/>
      <c r="L58" s="335"/>
      <c r="M58" s="336"/>
    </row>
    <row r="59" spans="1:13" s="54" customFormat="1" ht="15.75">
      <c r="A59" s="619" t="s">
        <v>230</v>
      </c>
      <c r="B59" s="620"/>
      <c r="C59" s="621" t="s">
        <v>231</v>
      </c>
      <c r="D59" s="621"/>
      <c r="E59" s="621"/>
      <c r="F59" s="621"/>
      <c r="G59" s="621"/>
      <c r="H59" s="621"/>
      <c r="I59" s="621"/>
      <c r="J59" s="621"/>
      <c r="K59" s="621"/>
      <c r="L59" s="621"/>
      <c r="M59" s="622"/>
    </row>
    <row r="60" spans="1:13" s="54" customFormat="1" ht="16.5" thickBot="1">
      <c r="A60" s="609"/>
      <c r="B60" s="610"/>
      <c r="C60" s="611" t="s">
        <v>232</v>
      </c>
      <c r="D60" s="611"/>
      <c r="E60" s="611"/>
      <c r="F60" s="611"/>
      <c r="G60" s="611"/>
      <c r="H60" s="611"/>
      <c r="I60" s="611"/>
      <c r="J60" s="611"/>
      <c r="K60" s="611"/>
      <c r="L60" s="611"/>
      <c r="M60" s="612"/>
    </row>
    <row r="61" s="54" customFormat="1" ht="15.75" thickTop="1">
      <c r="A61" s="54" t="s">
        <v>349</v>
      </c>
    </row>
  </sheetData>
  <sheetProtection password="C8D5" sheet="1" formatCells="0" formatColumns="0" formatRows="0" selectLockedCells="1" sort="0"/>
  <protectedRanges>
    <protectedRange sqref="A9:M60 A5:M8 A1:M4" name="Range1_3"/>
  </protectedRanges>
  <mergeCells count="67">
    <mergeCell ref="A60:B60"/>
    <mergeCell ref="C60:M60"/>
    <mergeCell ref="H52:K52"/>
    <mergeCell ref="C54:D54"/>
    <mergeCell ref="C56:D56"/>
    <mergeCell ref="B57:K57"/>
    <mergeCell ref="A59:B59"/>
    <mergeCell ref="C59:M59"/>
    <mergeCell ref="B36:G36"/>
    <mergeCell ref="B37:D37"/>
    <mergeCell ref="B38:F38"/>
    <mergeCell ref="B39:D39"/>
    <mergeCell ref="C44:D44"/>
    <mergeCell ref="C45:D45"/>
    <mergeCell ref="H39:I39"/>
    <mergeCell ref="J39:K39"/>
    <mergeCell ref="B25:G25"/>
    <mergeCell ref="C27:D27"/>
    <mergeCell ref="B28:G28"/>
    <mergeCell ref="B29:G29"/>
    <mergeCell ref="B32:G32"/>
    <mergeCell ref="B33:G33"/>
    <mergeCell ref="B34:G34"/>
    <mergeCell ref="B35:G35"/>
    <mergeCell ref="B18:C18"/>
    <mergeCell ref="C19:G19"/>
    <mergeCell ref="C20:G20"/>
    <mergeCell ref="C21:G21"/>
    <mergeCell ref="C22:G22"/>
    <mergeCell ref="C23:G23"/>
    <mergeCell ref="A14:C14"/>
    <mergeCell ref="D14:G14"/>
    <mergeCell ref="A15:C15"/>
    <mergeCell ref="D15:G15"/>
    <mergeCell ref="A16:M16"/>
    <mergeCell ref="A17:M17"/>
    <mergeCell ref="A12:C12"/>
    <mergeCell ref="D12:G12"/>
    <mergeCell ref="H12:I12"/>
    <mergeCell ref="J12:K12"/>
    <mergeCell ref="L12:M12"/>
    <mergeCell ref="A13:C13"/>
    <mergeCell ref="D13:G13"/>
    <mergeCell ref="H13:I15"/>
    <mergeCell ref="J13:K15"/>
    <mergeCell ref="L13:M15"/>
    <mergeCell ref="A9:C9"/>
    <mergeCell ref="D9:F9"/>
    <mergeCell ref="H9:J9"/>
    <mergeCell ref="K9:M9"/>
    <mergeCell ref="A10:M10"/>
    <mergeCell ref="A11:C11"/>
    <mergeCell ref="D11:G11"/>
    <mergeCell ref="H11:K11"/>
    <mergeCell ref="L11:M11"/>
    <mergeCell ref="A6:G6"/>
    <mergeCell ref="H6:M6"/>
    <mergeCell ref="A7:G7"/>
    <mergeCell ref="H7:M7"/>
    <mergeCell ref="A8:G8"/>
    <mergeCell ref="H8:M8"/>
    <mergeCell ref="A1:M1"/>
    <mergeCell ref="A2:M3"/>
    <mergeCell ref="A4:G4"/>
    <mergeCell ref="H4:M4"/>
    <mergeCell ref="A5:G5"/>
    <mergeCell ref="H5:M5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60"/>
  <sheetViews>
    <sheetView showGridLines="0" showRowColHeaders="0" workbookViewId="0" topLeftCell="A1">
      <selection activeCell="Q20" sqref="Q20"/>
    </sheetView>
  </sheetViews>
  <sheetFormatPr defaultColWidth="9.140625" defaultRowHeight="15"/>
  <cols>
    <col min="1" max="1" width="3.57421875" style="53" customWidth="1"/>
    <col min="2" max="2" width="3.140625" style="53" customWidth="1"/>
    <col min="3" max="3" width="3.8515625" style="53" customWidth="1"/>
    <col min="4" max="4" width="9.8515625" style="53" customWidth="1"/>
    <col min="5" max="5" width="13.28125" style="53" customWidth="1"/>
    <col min="6" max="6" width="13.140625" style="53" customWidth="1"/>
    <col min="7" max="7" width="4.00390625" style="53" customWidth="1"/>
    <col min="8" max="8" width="11.57421875" style="53" customWidth="1"/>
    <col min="9" max="9" width="11.7109375" style="53" customWidth="1"/>
    <col min="10" max="10" width="11.57421875" style="53" customWidth="1"/>
    <col min="11" max="11" width="2.8515625" style="53" customWidth="1"/>
    <col min="12" max="12" width="9.8515625" style="53" customWidth="1"/>
    <col min="13" max="16384" width="9.140625" style="53" customWidth="1"/>
  </cols>
  <sheetData>
    <row r="1" spans="1:12" ht="15.75" thickTop="1">
      <c r="A1" s="128"/>
      <c r="B1" s="625" t="s">
        <v>238</v>
      </c>
      <c r="C1" s="625"/>
      <c r="D1" s="625"/>
      <c r="E1" s="625"/>
      <c r="F1" s="625"/>
      <c r="G1" s="626" t="s">
        <v>205</v>
      </c>
      <c r="H1" s="626"/>
      <c r="I1" s="129" t="s">
        <v>206</v>
      </c>
      <c r="J1" s="129" t="s">
        <v>207</v>
      </c>
      <c r="K1" s="130"/>
      <c r="L1" s="131"/>
    </row>
    <row r="2" spans="1:12" ht="15">
      <c r="A2" s="132"/>
      <c r="B2" s="627" t="s">
        <v>239</v>
      </c>
      <c r="C2" s="627"/>
      <c r="D2" s="627"/>
      <c r="E2" s="627"/>
      <c r="F2" s="627"/>
      <c r="G2" s="628" t="s">
        <v>209</v>
      </c>
      <c r="H2" s="628"/>
      <c r="I2" s="133" t="s">
        <v>209</v>
      </c>
      <c r="J2" s="133" t="s">
        <v>209</v>
      </c>
      <c r="K2" s="134"/>
      <c r="L2" s="135"/>
    </row>
    <row r="3" spans="1:12" ht="16.5">
      <c r="A3" s="136"/>
      <c r="B3" s="623" t="str">
        <f>'Income Tax Form'!C36</f>
        <v>Medical Insurance Premium          Rs</v>
      </c>
      <c r="C3" s="624"/>
      <c r="D3" s="624"/>
      <c r="E3" s="624"/>
      <c r="F3" s="624"/>
      <c r="G3" s="137" t="s">
        <v>113</v>
      </c>
      <c r="H3" s="138">
        <f>'Income Tax Form'!K36</f>
        <v>0</v>
      </c>
      <c r="I3" s="139">
        <f>H3</f>
        <v>0</v>
      </c>
      <c r="J3" s="140">
        <f>I3</f>
        <v>0</v>
      </c>
      <c r="K3" s="134"/>
      <c r="L3" s="135"/>
    </row>
    <row r="4" spans="1:12" ht="16.5">
      <c r="A4" s="136"/>
      <c r="B4" s="623" t="str">
        <f>'Income Tax Form'!C37</f>
        <v>Expenditure on medical treatment    Rs</v>
      </c>
      <c r="C4" s="624"/>
      <c r="D4" s="624"/>
      <c r="E4" s="624"/>
      <c r="F4" s="624"/>
      <c r="G4" s="137" t="s">
        <v>113</v>
      </c>
      <c r="H4" s="138">
        <f>'Income Tax Form'!K37</f>
        <v>0</v>
      </c>
      <c r="I4" s="139">
        <f aca="true" t="shared" si="0" ref="I4:J10">H4</f>
        <v>0</v>
      </c>
      <c r="J4" s="140">
        <f t="shared" si="0"/>
        <v>0</v>
      </c>
      <c r="K4" s="134"/>
      <c r="L4" s="135"/>
    </row>
    <row r="5" spans="1:12" ht="16.5">
      <c r="A5" s="136"/>
      <c r="B5" s="623" t="str">
        <f>'Income Tax Form'!C38</f>
        <v>Donation of Charitable Institution       Rs</v>
      </c>
      <c r="C5" s="624"/>
      <c r="D5" s="624"/>
      <c r="E5" s="624"/>
      <c r="F5" s="624"/>
      <c r="G5" s="137" t="s">
        <v>113</v>
      </c>
      <c r="H5" s="138">
        <f>'Income Tax Form'!K38</f>
        <v>0</v>
      </c>
      <c r="I5" s="139">
        <f t="shared" si="0"/>
        <v>0</v>
      </c>
      <c r="J5" s="140">
        <f t="shared" si="0"/>
        <v>0</v>
      </c>
      <c r="K5" s="134"/>
      <c r="L5" s="135"/>
    </row>
    <row r="6" spans="1:12" ht="16.5">
      <c r="A6" s="136"/>
      <c r="B6" s="623" t="str">
        <f>'Income Tax Form'!C39</f>
        <v>Interest on Educational Loan         Rs</v>
      </c>
      <c r="C6" s="624"/>
      <c r="D6" s="624"/>
      <c r="E6" s="624"/>
      <c r="F6" s="624"/>
      <c r="G6" s="137" t="s">
        <v>113</v>
      </c>
      <c r="H6" s="138">
        <f>'Income Tax Form'!K39</f>
        <v>0</v>
      </c>
      <c r="I6" s="139">
        <f t="shared" si="0"/>
        <v>0</v>
      </c>
      <c r="J6" s="140">
        <f t="shared" si="0"/>
        <v>0</v>
      </c>
      <c r="K6" s="134"/>
      <c r="L6" s="135"/>
    </row>
    <row r="7" spans="1:12" ht="16.5">
      <c r="A7" s="136"/>
      <c r="B7" s="623" t="str">
        <f>'Income Tax Form'!C40</f>
        <v>Interest on Housing Loan Advance      Rs</v>
      </c>
      <c r="C7" s="624"/>
      <c r="D7" s="624"/>
      <c r="E7" s="624"/>
      <c r="F7" s="624"/>
      <c r="G7" s="137" t="s">
        <v>113</v>
      </c>
      <c r="H7" s="138">
        <f>'Income Tax Form'!K40</f>
        <v>0</v>
      </c>
      <c r="I7" s="139">
        <f t="shared" si="0"/>
        <v>0</v>
      </c>
      <c r="J7" s="140">
        <f t="shared" si="0"/>
        <v>0</v>
      </c>
      <c r="K7" s="134"/>
      <c r="L7" s="135"/>
    </row>
    <row r="8" spans="1:12" ht="16.5">
      <c r="A8" s="136"/>
      <c r="B8" s="623" t="str">
        <f>'Income Tax Form'!C41</f>
        <v>Medical treatment U/s                   Rs</v>
      </c>
      <c r="C8" s="624"/>
      <c r="D8" s="624"/>
      <c r="E8" s="624"/>
      <c r="F8" s="624"/>
      <c r="G8" s="137" t="s">
        <v>113</v>
      </c>
      <c r="H8" s="138">
        <f>'Income Tax Form'!K41</f>
        <v>0</v>
      </c>
      <c r="I8" s="139">
        <f t="shared" si="0"/>
        <v>0</v>
      </c>
      <c r="J8" s="140">
        <f t="shared" si="0"/>
        <v>0</v>
      </c>
      <c r="K8" s="134"/>
      <c r="L8" s="135"/>
    </row>
    <row r="9" spans="1:12" ht="16.5">
      <c r="A9" s="136"/>
      <c r="B9" s="623" t="str">
        <f>'Income Tax Form'!C42</f>
        <v>Maintaince and expenditure treatment for disabled dependent                       Rs</v>
      </c>
      <c r="C9" s="624"/>
      <c r="D9" s="624"/>
      <c r="E9" s="624"/>
      <c r="F9" s="624"/>
      <c r="G9" s="137" t="s">
        <v>113</v>
      </c>
      <c r="H9" s="138">
        <f>'Income Tax Form'!K42</f>
        <v>0</v>
      </c>
      <c r="I9" s="139">
        <f t="shared" si="0"/>
        <v>0</v>
      </c>
      <c r="J9" s="140">
        <f t="shared" si="0"/>
        <v>0</v>
      </c>
      <c r="K9" s="134"/>
      <c r="L9" s="135"/>
    </row>
    <row r="10" spans="1:12" ht="16.5">
      <c r="A10" s="136"/>
      <c r="B10" s="623" t="str">
        <f>'Income Tax Form'!C43</f>
        <v>E.W.F, &amp; S.W.F</v>
      </c>
      <c r="C10" s="624"/>
      <c r="D10" s="624"/>
      <c r="E10" s="624"/>
      <c r="F10" s="624"/>
      <c r="G10" s="137" t="s">
        <v>113</v>
      </c>
      <c r="H10" s="138">
        <f>'Income Tax Form'!K43</f>
        <v>40</v>
      </c>
      <c r="I10" s="139">
        <f t="shared" si="0"/>
        <v>40</v>
      </c>
      <c r="J10" s="140">
        <f t="shared" si="0"/>
        <v>40</v>
      </c>
      <c r="K10" s="134"/>
      <c r="L10" s="135"/>
    </row>
    <row r="11" spans="1:12" ht="16.5">
      <c r="A11" s="136"/>
      <c r="B11" s="623" t="str">
        <f>'Income Tax Form'!C44</f>
        <v>Investment in long term infrastructure bonds Us 80CCF</v>
      </c>
      <c r="C11" s="624"/>
      <c r="D11" s="624"/>
      <c r="E11" s="624"/>
      <c r="F11" s="624"/>
      <c r="G11" s="141"/>
      <c r="H11" s="138">
        <f>'Income Tax Form'!K44</f>
        <v>0</v>
      </c>
      <c r="I11" s="138">
        <f>H11</f>
        <v>0</v>
      </c>
      <c r="J11" s="138">
        <f>I11</f>
        <v>0</v>
      </c>
      <c r="K11" s="134"/>
      <c r="L11" s="135"/>
    </row>
    <row r="12" spans="1:12" ht="15">
      <c r="A12" s="132"/>
      <c r="B12" s="108"/>
      <c r="C12" s="108"/>
      <c r="D12" s="108"/>
      <c r="E12" s="108"/>
      <c r="F12" s="142" t="s">
        <v>240</v>
      </c>
      <c r="G12" s="142"/>
      <c r="H12" s="142"/>
      <c r="I12" s="143"/>
      <c r="J12" s="144"/>
      <c r="K12" s="145" t="s">
        <v>113</v>
      </c>
      <c r="L12" s="146">
        <f>SUM(J3:J11)</f>
        <v>40</v>
      </c>
    </row>
    <row r="13" spans="1:12" ht="15.75">
      <c r="A13" s="132">
        <v>10</v>
      </c>
      <c r="B13" s="526" t="s">
        <v>241</v>
      </c>
      <c r="C13" s="526"/>
      <c r="D13" s="526"/>
      <c r="E13" s="526"/>
      <c r="F13" s="526"/>
      <c r="G13" s="526"/>
      <c r="H13" s="526"/>
      <c r="I13" s="147"/>
      <c r="J13" s="148"/>
      <c r="K13" s="149" t="s">
        <v>113</v>
      </c>
      <c r="L13" s="150">
        <f>L12+'Form-16(1)'!M57</f>
        <v>71674</v>
      </c>
    </row>
    <row r="14" spans="1:12" ht="15">
      <c r="A14" s="132"/>
      <c r="B14" s="134"/>
      <c r="C14" s="134"/>
      <c r="D14" s="134"/>
      <c r="E14" s="134"/>
      <c r="F14" s="134"/>
      <c r="G14" s="134"/>
      <c r="H14" s="134"/>
      <c r="I14" s="147"/>
      <c r="J14" s="148"/>
      <c r="K14" s="141"/>
      <c r="L14" s="151"/>
    </row>
    <row r="15" spans="1:12" ht="15.75">
      <c r="A15" s="132">
        <v>11</v>
      </c>
      <c r="B15" s="526" t="s">
        <v>242</v>
      </c>
      <c r="C15" s="526"/>
      <c r="D15" s="526"/>
      <c r="E15" s="526"/>
      <c r="F15" s="526"/>
      <c r="G15" s="526"/>
      <c r="H15" s="526"/>
      <c r="I15" s="147"/>
      <c r="J15" s="148"/>
      <c r="K15" s="141" t="s">
        <v>113</v>
      </c>
      <c r="L15" s="152">
        <f>MROUND(('Form-16(1)'!M37-'Form-16(2)'!L13),10)</f>
        <v>298840</v>
      </c>
    </row>
    <row r="16" spans="1:12" ht="15.75">
      <c r="A16" s="132">
        <v>12</v>
      </c>
      <c r="B16" s="526" t="s">
        <v>243</v>
      </c>
      <c r="C16" s="526"/>
      <c r="D16" s="526"/>
      <c r="E16" s="526"/>
      <c r="F16" s="526"/>
      <c r="G16" s="526"/>
      <c r="H16" s="526"/>
      <c r="I16" s="147"/>
      <c r="J16" s="148"/>
      <c r="K16" s="153" t="s">
        <v>113</v>
      </c>
      <c r="L16" s="154">
        <f>'Income Tax Form'!K50+'Income Tax Form'!K51+'Income Tax Form'!K52</f>
        <v>9884</v>
      </c>
    </row>
    <row r="17" spans="1:12" ht="15.75">
      <c r="A17" s="132">
        <v>13</v>
      </c>
      <c r="B17" s="513" t="s">
        <v>244</v>
      </c>
      <c r="C17" s="513"/>
      <c r="D17" s="513"/>
      <c r="E17" s="513"/>
      <c r="F17" s="513"/>
      <c r="G17" s="513"/>
      <c r="H17" s="513"/>
      <c r="I17" s="147"/>
      <c r="J17" s="148"/>
      <c r="K17" s="153" t="s">
        <v>113</v>
      </c>
      <c r="L17" s="154">
        <f>'Income Tax Form'!K53</f>
        <v>99</v>
      </c>
    </row>
    <row r="18" spans="1:12" ht="15.75">
      <c r="A18" s="132">
        <v>14</v>
      </c>
      <c r="B18" s="513" t="s">
        <v>245</v>
      </c>
      <c r="C18" s="513"/>
      <c r="D18" s="513"/>
      <c r="E18" s="513"/>
      <c r="F18" s="513"/>
      <c r="G18" s="513"/>
      <c r="H18" s="513"/>
      <c r="I18" s="147"/>
      <c r="J18" s="148"/>
      <c r="K18" s="153" t="s">
        <v>113</v>
      </c>
      <c r="L18" s="154">
        <f>'Income Tax Form'!K54</f>
        <v>198</v>
      </c>
    </row>
    <row r="19" spans="1:12" ht="15.75">
      <c r="A19" s="132">
        <v>15</v>
      </c>
      <c r="B19" s="526" t="s">
        <v>246</v>
      </c>
      <c r="C19" s="526"/>
      <c r="D19" s="526"/>
      <c r="E19" s="526"/>
      <c r="F19" s="526"/>
      <c r="G19" s="526"/>
      <c r="H19" s="526"/>
      <c r="I19" s="147"/>
      <c r="J19" s="148"/>
      <c r="K19" s="153" t="s">
        <v>113</v>
      </c>
      <c r="L19" s="154">
        <f>SUM(L16:L18)</f>
        <v>10181</v>
      </c>
    </row>
    <row r="20" spans="1:12" ht="15">
      <c r="A20" s="132">
        <v>16</v>
      </c>
      <c r="B20" s="513" t="s">
        <v>247</v>
      </c>
      <c r="C20" s="513"/>
      <c r="D20" s="513"/>
      <c r="E20" s="513"/>
      <c r="F20" s="513"/>
      <c r="G20" s="513"/>
      <c r="H20" s="513"/>
      <c r="I20" s="147"/>
      <c r="J20" s="148"/>
      <c r="K20" s="153" t="s">
        <v>113</v>
      </c>
      <c r="L20" s="155">
        <v>0</v>
      </c>
    </row>
    <row r="21" spans="1:12" ht="15.75">
      <c r="A21" s="132">
        <v>17</v>
      </c>
      <c r="B21" s="526" t="s">
        <v>248</v>
      </c>
      <c r="C21" s="526"/>
      <c r="D21" s="526"/>
      <c r="E21" s="526"/>
      <c r="F21" s="526"/>
      <c r="G21" s="526"/>
      <c r="H21" s="526"/>
      <c r="I21" s="147"/>
      <c r="J21" s="148"/>
      <c r="K21" s="153" t="s">
        <v>113</v>
      </c>
      <c r="L21" s="154">
        <v>0</v>
      </c>
    </row>
    <row r="22" spans="1:12" ht="15.75">
      <c r="A22" s="132">
        <v>18</v>
      </c>
      <c r="B22" s="523" t="s">
        <v>249</v>
      </c>
      <c r="C22" s="513"/>
      <c r="D22" s="513"/>
      <c r="E22" s="513"/>
      <c r="F22" s="513"/>
      <c r="G22" s="513"/>
      <c r="H22" s="513"/>
      <c r="I22" s="147"/>
      <c r="J22" s="148"/>
      <c r="K22" s="153" t="s">
        <v>113</v>
      </c>
      <c r="L22" s="155">
        <v>0</v>
      </c>
    </row>
    <row r="23" spans="1:12" ht="15">
      <c r="A23" s="132"/>
      <c r="B23" s="80"/>
      <c r="C23" s="629" t="s">
        <v>250</v>
      </c>
      <c r="D23" s="629"/>
      <c r="E23" s="629"/>
      <c r="F23" s="629"/>
      <c r="G23" s="629"/>
      <c r="H23" s="629"/>
      <c r="I23" s="147"/>
      <c r="J23" s="148"/>
      <c r="K23" s="153" t="s">
        <v>113</v>
      </c>
      <c r="L23" s="155"/>
    </row>
    <row r="24" spans="1:12" ht="15">
      <c r="A24" s="132"/>
      <c r="B24" s="80"/>
      <c r="C24" s="513" t="s">
        <v>251</v>
      </c>
      <c r="D24" s="513"/>
      <c r="E24" s="513"/>
      <c r="F24" s="513"/>
      <c r="G24" s="513"/>
      <c r="H24" s="513"/>
      <c r="I24" s="147"/>
      <c r="J24" s="148"/>
      <c r="K24" s="153" t="s">
        <v>113</v>
      </c>
      <c r="L24" s="155">
        <v>0</v>
      </c>
    </row>
    <row r="25" spans="1:12" ht="15">
      <c r="A25" s="156">
        <v>19</v>
      </c>
      <c r="B25" s="630" t="s">
        <v>252</v>
      </c>
      <c r="C25" s="630"/>
      <c r="D25" s="630"/>
      <c r="E25" s="630"/>
      <c r="F25" s="630"/>
      <c r="G25" s="157"/>
      <c r="H25" s="158"/>
      <c r="I25" s="159"/>
      <c r="J25" s="160"/>
      <c r="K25" s="161" t="s">
        <v>113</v>
      </c>
      <c r="L25" s="162">
        <v>0</v>
      </c>
    </row>
    <row r="26" spans="1:12" ht="15">
      <c r="A26" s="163"/>
      <c r="B26" s="164"/>
      <c r="C26" s="164"/>
      <c r="D26" s="164"/>
      <c r="E26" s="164"/>
      <c r="F26" s="164"/>
      <c r="G26" s="164"/>
      <c r="H26" s="164"/>
      <c r="I26" s="165"/>
      <c r="J26" s="166"/>
      <c r="K26" s="164"/>
      <c r="L26" s="167"/>
    </row>
    <row r="27" spans="1:12" ht="15">
      <c r="A27" s="16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69"/>
    </row>
    <row r="28" spans="1:12" ht="15">
      <c r="A28" s="631" t="s">
        <v>253</v>
      </c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3"/>
    </row>
    <row r="29" spans="1:12" ht="15">
      <c r="A29" s="634" t="s">
        <v>254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6"/>
    </row>
    <row r="30" spans="1:12" ht="15">
      <c r="A30" s="168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69"/>
    </row>
    <row r="31" spans="1:12" ht="15">
      <c r="A31" s="170" t="s">
        <v>255</v>
      </c>
      <c r="B31" s="637" t="s">
        <v>256</v>
      </c>
      <c r="C31" s="638"/>
      <c r="D31" s="172" t="s">
        <v>257</v>
      </c>
      <c r="E31" s="171" t="s">
        <v>258</v>
      </c>
      <c r="F31" s="171" t="s">
        <v>259</v>
      </c>
      <c r="G31" s="637" t="s">
        <v>260</v>
      </c>
      <c r="H31" s="639"/>
      <c r="I31" s="173" t="s">
        <v>261</v>
      </c>
      <c r="J31" s="173" t="s">
        <v>262</v>
      </c>
      <c r="K31" s="637" t="s">
        <v>263</v>
      </c>
      <c r="L31" s="640"/>
    </row>
    <row r="32" spans="1:12" ht="15">
      <c r="A32" s="174" t="s">
        <v>264</v>
      </c>
      <c r="B32" s="641" t="s">
        <v>113</v>
      </c>
      <c r="C32" s="642"/>
      <c r="D32" s="176" t="s">
        <v>113</v>
      </c>
      <c r="E32" s="175" t="s">
        <v>265</v>
      </c>
      <c r="F32" s="175" t="s">
        <v>266</v>
      </c>
      <c r="G32" s="641" t="s">
        <v>267</v>
      </c>
      <c r="H32" s="643"/>
      <c r="I32" s="177" t="s">
        <v>268</v>
      </c>
      <c r="J32" s="177" t="s">
        <v>269</v>
      </c>
      <c r="K32" s="641" t="s">
        <v>270</v>
      </c>
      <c r="L32" s="644"/>
    </row>
    <row r="33" spans="1:12" ht="15">
      <c r="A33" s="178"/>
      <c r="B33" s="645"/>
      <c r="C33" s="646"/>
      <c r="D33" s="179"/>
      <c r="E33" s="179" t="s">
        <v>113</v>
      </c>
      <c r="F33" s="179" t="s">
        <v>113</v>
      </c>
      <c r="G33" s="645"/>
      <c r="H33" s="647"/>
      <c r="I33" s="181" t="s">
        <v>271</v>
      </c>
      <c r="J33" s="181" t="s">
        <v>266</v>
      </c>
      <c r="K33" s="645" t="s">
        <v>272</v>
      </c>
      <c r="L33" s="648"/>
    </row>
    <row r="34" spans="1:12" ht="15">
      <c r="A34" s="183">
        <v>1</v>
      </c>
      <c r="B34" s="179"/>
      <c r="C34" s="180"/>
      <c r="D34" s="179"/>
      <c r="E34" s="179"/>
      <c r="F34" s="179"/>
      <c r="G34" s="179"/>
      <c r="H34" s="181"/>
      <c r="I34" s="181"/>
      <c r="J34" s="181"/>
      <c r="K34" s="179"/>
      <c r="L34" s="182"/>
    </row>
    <row r="35" spans="1:12" ht="15">
      <c r="A35" s="183">
        <v>2</v>
      </c>
      <c r="B35" s="179"/>
      <c r="C35" s="180"/>
      <c r="D35" s="179"/>
      <c r="E35" s="179"/>
      <c r="F35" s="179"/>
      <c r="G35" s="179"/>
      <c r="H35" s="181"/>
      <c r="I35" s="181"/>
      <c r="J35" s="181"/>
      <c r="K35" s="179"/>
      <c r="L35" s="182"/>
    </row>
    <row r="36" spans="1:12" ht="15">
      <c r="A36" s="183">
        <v>3</v>
      </c>
      <c r="B36" s="179"/>
      <c r="C36" s="180"/>
      <c r="D36" s="179"/>
      <c r="E36" s="179"/>
      <c r="F36" s="179"/>
      <c r="G36" s="179"/>
      <c r="H36" s="181"/>
      <c r="I36" s="181"/>
      <c r="J36" s="181"/>
      <c r="K36" s="179"/>
      <c r="L36" s="182"/>
    </row>
    <row r="37" spans="1:12" ht="15">
      <c r="A37" s="183">
        <v>4</v>
      </c>
      <c r="B37" s="179"/>
      <c r="C37" s="180"/>
      <c r="D37" s="179"/>
      <c r="E37" s="179"/>
      <c r="F37" s="179"/>
      <c r="G37" s="179"/>
      <c r="H37" s="181"/>
      <c r="I37" s="181"/>
      <c r="J37" s="181"/>
      <c r="K37" s="179"/>
      <c r="L37" s="182"/>
    </row>
    <row r="38" spans="1:12" ht="15">
      <c r="A38" s="183">
        <v>5</v>
      </c>
      <c r="B38" s="179"/>
      <c r="C38" s="180"/>
      <c r="D38" s="179"/>
      <c r="E38" s="179"/>
      <c r="F38" s="179"/>
      <c r="G38" s="179"/>
      <c r="H38" s="181"/>
      <c r="I38" s="181"/>
      <c r="J38" s="181"/>
      <c r="K38" s="179"/>
      <c r="L38" s="182"/>
    </row>
    <row r="39" spans="1:12" ht="15">
      <c r="A39" s="183">
        <v>6</v>
      </c>
      <c r="B39" s="649"/>
      <c r="C39" s="650"/>
      <c r="D39" s="184"/>
      <c r="E39" s="186"/>
      <c r="F39" s="186"/>
      <c r="G39" s="649"/>
      <c r="H39" s="651"/>
      <c r="I39" s="187"/>
      <c r="J39" s="187"/>
      <c r="K39" s="649"/>
      <c r="L39" s="652"/>
    </row>
    <row r="40" spans="1:12" ht="15">
      <c r="A40" s="183">
        <v>7</v>
      </c>
      <c r="B40" s="184"/>
      <c r="C40" s="185"/>
      <c r="D40" s="184"/>
      <c r="E40" s="186"/>
      <c r="F40" s="186"/>
      <c r="G40" s="184"/>
      <c r="H40" s="187"/>
      <c r="I40" s="187"/>
      <c r="J40" s="187"/>
      <c r="K40" s="184"/>
      <c r="L40" s="188"/>
    </row>
    <row r="41" spans="1:12" ht="15">
      <c r="A41" s="183">
        <v>8</v>
      </c>
      <c r="B41" s="649"/>
      <c r="C41" s="650"/>
      <c r="D41" s="184"/>
      <c r="E41" s="189"/>
      <c r="F41" s="189"/>
      <c r="G41" s="649"/>
      <c r="H41" s="651"/>
      <c r="I41" s="187"/>
      <c r="J41" s="187"/>
      <c r="K41" s="649"/>
      <c r="L41" s="652"/>
    </row>
    <row r="42" spans="1:12" ht="15">
      <c r="A42" s="183">
        <v>9</v>
      </c>
      <c r="B42" s="184"/>
      <c r="C42" s="185"/>
      <c r="D42" s="184"/>
      <c r="E42" s="189"/>
      <c r="F42" s="189"/>
      <c r="G42" s="184"/>
      <c r="H42" s="187"/>
      <c r="I42" s="187"/>
      <c r="J42" s="187"/>
      <c r="K42" s="184"/>
      <c r="L42" s="188"/>
    </row>
    <row r="43" spans="1:12" ht="15">
      <c r="A43" s="183">
        <v>10</v>
      </c>
      <c r="B43" s="184"/>
      <c r="C43" s="185"/>
      <c r="D43" s="184"/>
      <c r="E43" s="189"/>
      <c r="F43" s="189"/>
      <c r="G43" s="184"/>
      <c r="H43" s="187"/>
      <c r="I43" s="187"/>
      <c r="J43" s="187"/>
      <c r="K43" s="184"/>
      <c r="L43" s="188"/>
    </row>
    <row r="44" spans="1:12" s="54" customFormat="1" ht="15">
      <c r="A44" s="25">
        <v>11</v>
      </c>
      <c r="B44" s="653"/>
      <c r="C44" s="659"/>
      <c r="D44" s="26"/>
      <c r="E44" s="28"/>
      <c r="F44" s="28"/>
      <c r="G44" s="653"/>
      <c r="H44" s="659"/>
      <c r="I44" s="27"/>
      <c r="J44" s="27"/>
      <c r="K44" s="653"/>
      <c r="L44" s="654"/>
    </row>
    <row r="45" spans="1:12" s="54" customFormat="1" ht="15">
      <c r="A45" s="25">
        <v>12</v>
      </c>
      <c r="B45" s="653"/>
      <c r="C45" s="659"/>
      <c r="D45" s="26"/>
      <c r="E45" s="28"/>
      <c r="F45" s="28"/>
      <c r="G45" s="653"/>
      <c r="H45" s="659"/>
      <c r="I45" s="27"/>
      <c r="J45" s="27"/>
      <c r="K45" s="653"/>
      <c r="L45" s="654"/>
    </row>
    <row r="46" spans="1:12" s="54" customFormat="1" ht="15">
      <c r="A46" s="23"/>
      <c r="B46" s="21"/>
      <c r="C46" s="21"/>
      <c r="D46" s="21"/>
      <c r="E46" s="21"/>
      <c r="F46" s="21"/>
      <c r="G46" s="655"/>
      <c r="H46" s="655"/>
      <c r="I46" s="21"/>
      <c r="J46" s="21"/>
      <c r="K46" s="21"/>
      <c r="L46" s="24"/>
    </row>
    <row r="47" spans="1:12" s="54" customFormat="1" ht="15">
      <c r="A47" s="656" t="s">
        <v>353</v>
      </c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8"/>
    </row>
    <row r="48" spans="1:12" s="54" customFormat="1" ht="15">
      <c r="A48" s="656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8"/>
    </row>
    <row r="49" spans="1:12" s="54" customFormat="1" ht="15">
      <c r="A49" s="656"/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8"/>
    </row>
    <row r="50" spans="1:12" s="54" customFormat="1" ht="15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8"/>
    </row>
    <row r="51" spans="1:12" s="54" customFormat="1" ht="15">
      <c r="A51" s="656"/>
      <c r="B51" s="657"/>
      <c r="C51" s="657"/>
      <c r="D51" s="657"/>
      <c r="E51" s="657"/>
      <c r="F51" s="657"/>
      <c r="G51" s="657"/>
      <c r="H51" s="657"/>
      <c r="I51" s="657"/>
      <c r="J51" s="657"/>
      <c r="K51" s="657"/>
      <c r="L51" s="658"/>
    </row>
    <row r="52" spans="1:12" s="54" customFormat="1" ht="15">
      <c r="A52" s="2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0"/>
    </row>
    <row r="53" spans="1:12" s="54" customFormat="1" ht="15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</row>
    <row r="54" spans="1:12" s="54" customFormat="1" ht="15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</row>
    <row r="55" spans="1:12" s="54" customFormat="1" ht="15">
      <c r="A55" s="31"/>
      <c r="B55" s="22"/>
      <c r="C55" s="22"/>
      <c r="D55" s="22"/>
      <c r="E55" s="22"/>
      <c r="F55" s="22" t="s">
        <v>273</v>
      </c>
      <c r="G55" s="22"/>
      <c r="H55" s="22"/>
      <c r="I55" s="22"/>
      <c r="J55" s="22"/>
      <c r="K55" s="22"/>
      <c r="L55" s="32"/>
    </row>
    <row r="56" spans="1:12" s="54" customFormat="1" ht="15">
      <c r="A56" s="3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2"/>
    </row>
    <row r="57" spans="1:12" s="54" customFormat="1" ht="15">
      <c r="A57" s="660" t="s">
        <v>274</v>
      </c>
      <c r="B57" s="661"/>
      <c r="C57" s="22" t="str">
        <f>DATA!AL4</f>
        <v>MPPS,MD Mangalam</v>
      </c>
      <c r="D57" s="22"/>
      <c r="E57" s="22"/>
      <c r="F57" s="20" t="s">
        <v>275</v>
      </c>
      <c r="G57" s="20"/>
      <c r="H57" s="22"/>
      <c r="I57" s="20"/>
      <c r="J57" s="22"/>
      <c r="K57" s="22"/>
      <c r="L57" s="33"/>
    </row>
    <row r="58" spans="1:12" s="54" customFormat="1" ht="15">
      <c r="A58" s="660" t="s">
        <v>276</v>
      </c>
      <c r="B58" s="661"/>
      <c r="C58" s="662" t="str">
        <f ca="1">DAY(TODAY())&amp;"/"&amp;MONTH(TODAY())&amp;"/"&amp;YEAR(TODAY())</f>
        <v>5/1/2013</v>
      </c>
      <c r="D58" s="662"/>
      <c r="E58" s="6"/>
      <c r="F58" s="6" t="s">
        <v>277</v>
      </c>
      <c r="G58" s="661" t="str">
        <f>DATA!AO21</f>
        <v>M.Venkateswarlu</v>
      </c>
      <c r="H58" s="661"/>
      <c r="I58" s="661"/>
      <c r="J58" s="661"/>
      <c r="K58" s="22"/>
      <c r="L58" s="34"/>
    </row>
    <row r="59" spans="1:12" s="54" customFormat="1" ht="15">
      <c r="A59" s="31"/>
      <c r="B59" s="22"/>
      <c r="C59" s="22"/>
      <c r="D59" s="22"/>
      <c r="E59" s="35"/>
      <c r="F59" s="20" t="s">
        <v>278</v>
      </c>
      <c r="G59" s="661" t="str">
        <f>DATA!AL22</f>
        <v>Mandal Educational Officer</v>
      </c>
      <c r="H59" s="661"/>
      <c r="I59" s="661"/>
      <c r="J59" s="661"/>
      <c r="K59" s="22"/>
      <c r="L59" s="34"/>
    </row>
    <row r="60" spans="1:12" s="54" customFormat="1" ht="16.5" thickBot="1">
      <c r="A60" s="124" t="s">
        <v>300</v>
      </c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7"/>
    </row>
    <row r="61" ht="15.75" thickTop="1"/>
  </sheetData>
  <sheetProtection password="CEDB" sheet="1" formatCells="0" formatColumns="0" formatRows="0" insertColumns="0" insertRows="0" selectLockedCells="1"/>
  <mergeCells count="55">
    <mergeCell ref="G44:H44"/>
    <mergeCell ref="K44:L44"/>
    <mergeCell ref="A58:B58"/>
    <mergeCell ref="C58:D58"/>
    <mergeCell ref="G58:J58"/>
    <mergeCell ref="G59:J59"/>
    <mergeCell ref="B45:C45"/>
    <mergeCell ref="G45:H45"/>
    <mergeCell ref="A57:B57"/>
    <mergeCell ref="B39:C39"/>
    <mergeCell ref="G39:H39"/>
    <mergeCell ref="K39:L39"/>
    <mergeCell ref="K45:L45"/>
    <mergeCell ref="G46:H46"/>
    <mergeCell ref="A47:L51"/>
    <mergeCell ref="B41:C41"/>
    <mergeCell ref="G41:H41"/>
    <mergeCell ref="K41:L41"/>
    <mergeCell ref="B44:C44"/>
    <mergeCell ref="B32:C32"/>
    <mergeCell ref="G32:H32"/>
    <mergeCell ref="K32:L32"/>
    <mergeCell ref="B33:C33"/>
    <mergeCell ref="G33:H33"/>
    <mergeCell ref="K33:L33"/>
    <mergeCell ref="C23:H23"/>
    <mergeCell ref="C24:H24"/>
    <mergeCell ref="B25:F25"/>
    <mergeCell ref="A28:L28"/>
    <mergeCell ref="A29:L29"/>
    <mergeCell ref="B31:C31"/>
    <mergeCell ref="G31:H31"/>
    <mergeCell ref="K31:L31"/>
    <mergeCell ref="B17:H17"/>
    <mergeCell ref="B18:H18"/>
    <mergeCell ref="B19:H19"/>
    <mergeCell ref="B20:H20"/>
    <mergeCell ref="B21:H21"/>
    <mergeCell ref="B22:H22"/>
    <mergeCell ref="B8:F8"/>
    <mergeCell ref="B9:F9"/>
    <mergeCell ref="B10:F10"/>
    <mergeCell ref="B13:H13"/>
    <mergeCell ref="B15:H15"/>
    <mergeCell ref="B16:H16"/>
    <mergeCell ref="B11:F11"/>
    <mergeCell ref="B5:F5"/>
    <mergeCell ref="B6:F6"/>
    <mergeCell ref="B7:F7"/>
    <mergeCell ref="B1:F1"/>
    <mergeCell ref="G1:H1"/>
    <mergeCell ref="B2:F2"/>
    <mergeCell ref="G2:H2"/>
    <mergeCell ref="B3:F3"/>
    <mergeCell ref="B4:F4"/>
  </mergeCell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I25"/>
  <sheetViews>
    <sheetView showGridLines="0" showRowColHeaders="0" zoomScalePageLayoutView="0" workbookViewId="0" topLeftCell="A1">
      <selection activeCell="M16" sqref="M16"/>
    </sheetView>
  </sheetViews>
  <sheetFormatPr defaultColWidth="9.140625" defaultRowHeight="15"/>
  <cols>
    <col min="1" max="1" width="4.421875" style="0" customWidth="1"/>
    <col min="9" max="9" width="11.00390625" style="0" customWidth="1"/>
  </cols>
  <sheetData>
    <row r="2" spans="2:9" ht="30" customHeight="1">
      <c r="B2" s="664" t="s">
        <v>344</v>
      </c>
      <c r="C2" s="664"/>
      <c r="D2" s="664"/>
      <c r="E2" s="664"/>
      <c r="F2" s="664"/>
      <c r="G2" s="664"/>
      <c r="H2" s="664"/>
      <c r="I2" s="664"/>
    </row>
    <row r="3" spans="2:9" ht="15" customHeight="1">
      <c r="B3" s="665" t="str">
        <f>CONCATENATE("                                             Received  sum of Rs. ",DATA!N138,"/- per month Rs: ",DATA!N133,"/-  being the rent for the month and for period of March-2012 to February-2013 from ",DATA!AM3,",  ",DATA!AW3,",",DATA!AL4," of ",DATA!AS4," Mandal inrespect of house rent")</f>
        <v>                                             Received  sum of Rs. 74400/- per month Rs: 6200/-  being the rent for the month and for period of March-2012 to February-2013 from S.Malathi,  S.A(MM),MPPS,MD Mangalam of GD Nellore  Mandal inrespect of house rent</v>
      </c>
      <c r="C3" s="665"/>
      <c r="D3" s="665"/>
      <c r="E3" s="665"/>
      <c r="F3" s="665"/>
      <c r="G3" s="665"/>
      <c r="H3" s="665"/>
      <c r="I3" s="665"/>
    </row>
    <row r="4" spans="2:9" ht="15">
      <c r="B4" s="665"/>
      <c r="C4" s="665"/>
      <c r="D4" s="665"/>
      <c r="E4" s="665"/>
      <c r="F4" s="665"/>
      <c r="G4" s="665"/>
      <c r="H4" s="665"/>
      <c r="I4" s="665"/>
    </row>
    <row r="5" spans="2:9" ht="15">
      <c r="B5" s="665"/>
      <c r="C5" s="665"/>
      <c r="D5" s="665"/>
      <c r="E5" s="665"/>
      <c r="F5" s="665"/>
      <c r="G5" s="665"/>
      <c r="H5" s="665"/>
      <c r="I5" s="665"/>
    </row>
    <row r="6" spans="2:9" ht="15">
      <c r="B6" s="665"/>
      <c r="C6" s="665"/>
      <c r="D6" s="665"/>
      <c r="E6" s="665"/>
      <c r="F6" s="665"/>
      <c r="G6" s="665"/>
      <c r="H6" s="665"/>
      <c r="I6" s="665"/>
    </row>
    <row r="7" spans="2:9" ht="15">
      <c r="B7" s="665"/>
      <c r="C7" s="665"/>
      <c r="D7" s="665"/>
      <c r="E7" s="665"/>
      <c r="F7" s="665"/>
      <c r="G7" s="665"/>
      <c r="H7" s="665"/>
      <c r="I7" s="665"/>
    </row>
    <row r="8" spans="2:9" ht="28.5" customHeight="1">
      <c r="B8" s="665"/>
      <c r="C8" s="665"/>
      <c r="D8" s="665"/>
      <c r="E8" s="665"/>
      <c r="F8" s="665"/>
      <c r="G8" s="665"/>
      <c r="H8" s="665"/>
      <c r="I8" s="665"/>
    </row>
    <row r="9" spans="2:9" ht="15">
      <c r="B9" s="267"/>
      <c r="C9" s="267"/>
      <c r="D9" s="267"/>
      <c r="E9" s="267"/>
      <c r="F9" s="267"/>
      <c r="G9" s="267"/>
      <c r="H9" s="267"/>
      <c r="I9" s="267"/>
    </row>
    <row r="10" spans="2:9" ht="15">
      <c r="B10" s="267"/>
      <c r="C10" s="267"/>
      <c r="D10" s="267"/>
      <c r="E10" s="267"/>
      <c r="F10" s="267"/>
      <c r="G10" s="267"/>
      <c r="H10" s="267"/>
      <c r="I10" s="267"/>
    </row>
    <row r="11" spans="2:9" ht="35.25" customHeight="1">
      <c r="B11" s="267"/>
      <c r="C11" s="267"/>
      <c r="D11" s="267"/>
      <c r="E11" s="267"/>
      <c r="F11" s="663" t="s">
        <v>345</v>
      </c>
      <c r="G11" s="663"/>
      <c r="H11" s="663"/>
      <c r="I11" s="663"/>
    </row>
    <row r="12" spans="2:9" ht="15">
      <c r="B12" s="267"/>
      <c r="C12" s="267"/>
      <c r="D12" s="267"/>
      <c r="E12" s="267"/>
      <c r="F12" s="267"/>
      <c r="G12" s="267"/>
      <c r="H12" s="267"/>
      <c r="I12" s="267"/>
    </row>
    <row r="13" spans="2:9" ht="15">
      <c r="B13" s="267"/>
      <c r="C13" s="267"/>
      <c r="D13" s="267"/>
      <c r="E13" s="267"/>
      <c r="F13" s="267"/>
      <c r="G13" s="267"/>
      <c r="H13" s="267"/>
      <c r="I13" s="267"/>
    </row>
    <row r="16" spans="2:9" ht="159.75" customHeight="1">
      <c r="B16" s="664" t="s">
        <v>344</v>
      </c>
      <c r="C16" s="664"/>
      <c r="D16" s="664"/>
      <c r="E16" s="664"/>
      <c r="F16" s="664"/>
      <c r="G16" s="664"/>
      <c r="H16" s="664"/>
      <c r="I16" s="664"/>
    </row>
    <row r="17" spans="2:9" ht="15">
      <c r="B17" s="665" t="str">
        <f>CONCATENATE("                                             Received  sum of Rs. ",DATA!N138,"/- per month Rs: ",DATA!N133,"/-  being the rent for the month and for period of March-2011 to February-2012 from ",DATA!AM3,",  ",DATA!AW3," in respect of house  rent")</f>
        <v>                                             Received  sum of Rs. 74400/- per month Rs: 6200/-  being the rent for the month and for period of March-2011 to February-2012 from S.Malathi,  S.A(MM) in respect of house  rent</v>
      </c>
      <c r="C17" s="665"/>
      <c r="D17" s="665"/>
      <c r="E17" s="665"/>
      <c r="F17" s="665"/>
      <c r="G17" s="665"/>
      <c r="H17" s="665"/>
      <c r="I17" s="665"/>
    </row>
    <row r="18" spans="2:9" ht="15">
      <c r="B18" s="665"/>
      <c r="C18" s="665"/>
      <c r="D18" s="665"/>
      <c r="E18" s="665"/>
      <c r="F18" s="665"/>
      <c r="G18" s="665"/>
      <c r="H18" s="665"/>
      <c r="I18" s="665"/>
    </row>
    <row r="19" spans="2:9" ht="15">
      <c r="B19" s="665"/>
      <c r="C19" s="665"/>
      <c r="D19" s="665"/>
      <c r="E19" s="665"/>
      <c r="F19" s="665"/>
      <c r="G19" s="665"/>
      <c r="H19" s="665"/>
      <c r="I19" s="665"/>
    </row>
    <row r="20" spans="2:9" ht="15">
      <c r="B20" s="665"/>
      <c r="C20" s="665"/>
      <c r="D20" s="665"/>
      <c r="E20" s="665"/>
      <c r="F20" s="665"/>
      <c r="G20" s="665"/>
      <c r="H20" s="665"/>
      <c r="I20" s="665"/>
    </row>
    <row r="21" spans="2:9" ht="15">
      <c r="B21" s="665"/>
      <c r="C21" s="665"/>
      <c r="D21" s="665"/>
      <c r="E21" s="665"/>
      <c r="F21" s="665"/>
      <c r="G21" s="665"/>
      <c r="H21" s="665"/>
      <c r="I21" s="665"/>
    </row>
    <row r="22" spans="2:9" ht="15">
      <c r="B22" s="665"/>
      <c r="C22" s="665"/>
      <c r="D22" s="665"/>
      <c r="E22" s="665"/>
      <c r="F22" s="665"/>
      <c r="G22" s="665"/>
      <c r="H22" s="665"/>
      <c r="I22" s="665"/>
    </row>
    <row r="23" spans="2:9" ht="15">
      <c r="B23" s="267"/>
      <c r="C23" s="267"/>
      <c r="D23" s="267"/>
      <c r="E23" s="267"/>
      <c r="F23" s="267"/>
      <c r="G23" s="267"/>
      <c r="H23" s="267"/>
      <c r="I23" s="267"/>
    </row>
    <row r="24" spans="2:9" ht="15">
      <c r="B24" s="267"/>
      <c r="C24" s="267"/>
      <c r="D24" s="267"/>
      <c r="E24" s="267"/>
      <c r="F24" s="267"/>
      <c r="G24" s="267"/>
      <c r="H24" s="267"/>
      <c r="I24" s="267"/>
    </row>
    <row r="25" spans="2:9" ht="15">
      <c r="B25" s="267"/>
      <c r="C25" s="267"/>
      <c r="D25" s="267"/>
      <c r="E25" s="267"/>
      <c r="F25" s="663" t="s">
        <v>345</v>
      </c>
      <c r="G25" s="663"/>
      <c r="H25" s="663"/>
      <c r="I25" s="663"/>
    </row>
  </sheetData>
  <sheetProtection/>
  <mergeCells count="6">
    <mergeCell ref="F25:I25"/>
    <mergeCell ref="B2:I2"/>
    <mergeCell ref="B3:I8"/>
    <mergeCell ref="F11:I11"/>
    <mergeCell ref="B16:I16"/>
    <mergeCell ref="B17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74"/>
  <sheetViews>
    <sheetView showGridLines="0" showRowColHeaders="0" zoomScalePageLayoutView="0" workbookViewId="0" topLeftCell="A28">
      <selection activeCell="A1" sqref="A1:O2"/>
    </sheetView>
  </sheetViews>
  <sheetFormatPr defaultColWidth="9.140625" defaultRowHeight="15"/>
  <cols>
    <col min="1" max="1" width="6.57421875" style="54" customWidth="1"/>
    <col min="2" max="2" width="6.140625" style="54" customWidth="1"/>
    <col min="3" max="3" width="6.00390625" style="54" customWidth="1"/>
    <col min="4" max="4" width="5.00390625" style="54" customWidth="1"/>
    <col min="5" max="5" width="5.7109375" style="54" customWidth="1"/>
    <col min="6" max="6" width="7.140625" style="54" customWidth="1"/>
    <col min="7" max="7" width="5.8515625" style="54" customWidth="1"/>
    <col min="8" max="8" width="6.7109375" style="54" customWidth="1"/>
    <col min="9" max="10" width="5.8515625" style="54" customWidth="1"/>
    <col min="11" max="11" width="6.8515625" style="54" customWidth="1"/>
    <col min="12" max="13" width="6.7109375" style="54" customWidth="1"/>
    <col min="14" max="14" width="5.28125" style="54" customWidth="1"/>
    <col min="15" max="15" width="6.8515625" style="54" customWidth="1"/>
    <col min="16" max="20" width="5.28125" style="54" customWidth="1"/>
    <col min="21" max="21" width="2.28125" style="54" hidden="1" customWidth="1"/>
    <col min="22" max="23" width="7.8515625" style="54" hidden="1" customWidth="1"/>
    <col min="24" max="24" width="5.140625" style="54" hidden="1" customWidth="1"/>
    <col min="25" max="25" width="11.8515625" style="54" hidden="1" customWidth="1"/>
    <col min="26" max="26" width="10.57421875" style="54" hidden="1" customWidth="1"/>
    <col min="27" max="27" width="14.28125" style="54" hidden="1" customWidth="1"/>
    <col min="28" max="28" width="15.8515625" style="54" hidden="1" customWidth="1"/>
    <col min="29" max="29" width="15.421875" style="54" hidden="1" customWidth="1"/>
    <col min="30" max="30" width="132.28125" style="54" hidden="1" customWidth="1"/>
    <col min="31" max="111" width="0" style="54" hidden="1" customWidth="1"/>
    <col min="112" max="16384" width="9.140625" style="54" customWidth="1"/>
  </cols>
  <sheetData>
    <row r="1" spans="1:15" ht="15" customHeight="1">
      <c r="A1" s="674" t="s">
        <v>301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</row>
    <row r="2" spans="1:15" ht="15" customHeight="1">
      <c r="A2" s="674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30.75" customHeight="1" thickBot="1">
      <c r="A3" s="676" t="s">
        <v>302</v>
      </c>
      <c r="B3" s="677"/>
      <c r="C3" s="677"/>
      <c r="D3" s="677"/>
      <c r="E3" s="677"/>
      <c r="F3" s="677"/>
      <c r="G3" s="677"/>
      <c r="H3" s="337"/>
      <c r="I3" s="337"/>
      <c r="J3" s="678"/>
      <c r="K3" s="678"/>
      <c r="L3" s="678"/>
      <c r="M3" s="678"/>
      <c r="N3" s="678"/>
      <c r="O3" s="678"/>
    </row>
    <row r="4" spans="1:15" ht="58.5" customHeight="1" thickTop="1">
      <c r="A4" s="679" t="s">
        <v>303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1"/>
    </row>
    <row r="5" spans="1:18" ht="33" customHeight="1">
      <c r="A5" s="682" t="str">
        <f>CONCATENATE(V8,"% D.A TABLE FROM  ",AC8)</f>
        <v>24.824% D.A TABLE FROM  December_2010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4"/>
      <c r="R5" s="338"/>
    </row>
    <row r="6" spans="1:15" ht="36.75" customHeight="1">
      <c r="A6" s="697" t="str">
        <f>CONCATENATE("    ",AD8)</f>
        <v>    From July_2010 to November_2010 credited to GPF Account and from December_2010 Paid in cash. As per GO Ms No: 356 dated: 6/12/2010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9"/>
    </row>
    <row r="7" spans="1:29" ht="54.75" customHeight="1">
      <c r="A7" s="339" t="s">
        <v>43</v>
      </c>
      <c r="B7" s="340" t="str">
        <f>CONCATENATE("To be drawn @ ",V8,"%")</f>
        <v>To be drawn @ 24.824%</v>
      </c>
      <c r="C7" s="340" t="str">
        <f>CONCATENATE("Already Drawn @ ",W8," %")</f>
        <v>Already Drawn @ 16.264 %</v>
      </c>
      <c r="D7" s="341" t="s">
        <v>304</v>
      </c>
      <c r="E7" s="340" t="str">
        <f>CONCATENATE("For ",Z8,"   Months (DIFF)")</f>
        <v>For 5   Months (DIFF)</v>
      </c>
      <c r="F7" s="341" t="s">
        <v>43</v>
      </c>
      <c r="G7" s="340" t="str">
        <f>CONCATENATE("To be drawn @ ",V8,"%")</f>
        <v>To be drawn @ 24.824%</v>
      </c>
      <c r="H7" s="340" t="str">
        <f>CONCATENATE("Already Drawn @ ",W8," %")</f>
        <v>Already Drawn @ 16.264 %</v>
      </c>
      <c r="I7" s="341" t="s">
        <v>304</v>
      </c>
      <c r="J7" s="340" t="str">
        <f>CONCATENATE("For ",Z8,"   Months (DIFF)")</f>
        <v>For 5   Months (DIFF)</v>
      </c>
      <c r="K7" s="341" t="s">
        <v>43</v>
      </c>
      <c r="L7" s="341" t="str">
        <f>CONCATENATE("To be drawn @ ",V8,"%")</f>
        <v>To be drawn @ 24.824%</v>
      </c>
      <c r="M7" s="340" t="str">
        <f>CONCATENATE("Already Drawn @ ",W8," %")</f>
        <v>Already Drawn @ 16.264 %</v>
      </c>
      <c r="N7" s="341" t="s">
        <v>304</v>
      </c>
      <c r="O7" s="342" t="str">
        <f>CONCATENATE("For ",Z8,"   Months(DIFF)")</f>
        <v>For 5   Months(DIFF)</v>
      </c>
      <c r="X7" s="54" t="s">
        <v>305</v>
      </c>
      <c r="Y7" s="54" t="s">
        <v>306</v>
      </c>
      <c r="Z7" s="54" t="s">
        <v>307</v>
      </c>
      <c r="AA7" s="54" t="s">
        <v>179</v>
      </c>
      <c r="AB7" s="54" t="s">
        <v>180</v>
      </c>
      <c r="AC7" s="54" t="s">
        <v>308</v>
      </c>
    </row>
    <row r="8" spans="1:30" ht="15">
      <c r="A8" s="343">
        <v>6700</v>
      </c>
      <c r="B8" s="344">
        <f aca="true" t="shared" si="0" ref="B8:B34">ROUND(A8*$V$8%,0)</f>
        <v>1663</v>
      </c>
      <c r="C8" s="344">
        <f aca="true" t="shared" si="1" ref="C8:C34">ROUND(A8*$W$8%,0)</f>
        <v>1090</v>
      </c>
      <c r="D8" s="344">
        <f aca="true" t="shared" si="2" ref="D8:D34">B8-C8</f>
        <v>573</v>
      </c>
      <c r="E8" s="344">
        <f>D8*$Z$8</f>
        <v>2865</v>
      </c>
      <c r="F8" s="345">
        <v>14440</v>
      </c>
      <c r="G8" s="344">
        <f>ROUND(F8*$V$8%,0)</f>
        <v>3585</v>
      </c>
      <c r="H8" s="344">
        <f>ROUND(F8*$W$8%,0)</f>
        <v>2349</v>
      </c>
      <c r="I8" s="344">
        <f>G8-H8</f>
        <v>1236</v>
      </c>
      <c r="J8" s="344">
        <f>I8*$Z$8</f>
        <v>6180</v>
      </c>
      <c r="K8" s="345">
        <v>29950</v>
      </c>
      <c r="L8" s="344">
        <f>ROUND(K8*$V$8%,0)</f>
        <v>7435</v>
      </c>
      <c r="M8" s="344">
        <f>ROUND(K8*$W$8%,0)</f>
        <v>4871</v>
      </c>
      <c r="N8" s="344">
        <f>L8-M8</f>
        <v>2564</v>
      </c>
      <c r="O8" s="346">
        <f>N8*$Z$8</f>
        <v>12820</v>
      </c>
      <c r="U8" s="54">
        <v>2</v>
      </c>
      <c r="V8" s="196">
        <f>VLOOKUP(U8,U9:AD17,2,0)</f>
        <v>24.824</v>
      </c>
      <c r="W8" s="196">
        <f>VLOOKUP(U8,U9:AD17,3,0)</f>
        <v>16.264</v>
      </c>
      <c r="X8" s="196">
        <f>VLOOKUP(U8,U9:AD17,4,0)</f>
        <v>356</v>
      </c>
      <c r="Y8" s="347">
        <f>VLOOKUP(U8,U9:AD17,5,0)</f>
        <v>40518</v>
      </c>
      <c r="Z8" s="196">
        <f>VLOOKUP(U8,U9:AD17,6,0)</f>
        <v>5</v>
      </c>
      <c r="AA8" s="348" t="str">
        <f>VLOOKUP(U8,U9:AD17,7,0)</f>
        <v>July_2010</v>
      </c>
      <c r="AB8" s="196" t="str">
        <f>VLOOKUP(U8,$U$9:$AD$17,8,0)</f>
        <v>November_2010</v>
      </c>
      <c r="AC8" s="196" t="str">
        <f>VLOOKUP(U8,$U$9:$AD$17,9,0)</f>
        <v>December_2010</v>
      </c>
      <c r="AD8" s="196" t="str">
        <f>VLOOKUP(U8,$U$9:$AD$17,10,0)</f>
        <v>From July_2010 to November_2010 credited to GPF Account and from December_2010 Paid in cash. As per GO Ms No: 356 dated: 6/12/2010</v>
      </c>
    </row>
    <row r="9" spans="1:30" ht="15">
      <c r="A9" s="349">
        <v>6900</v>
      </c>
      <c r="B9" s="344">
        <f t="shared" si="0"/>
        <v>1713</v>
      </c>
      <c r="C9" s="344">
        <f t="shared" si="1"/>
        <v>1122</v>
      </c>
      <c r="D9" s="344">
        <f t="shared" si="2"/>
        <v>591</v>
      </c>
      <c r="E9" s="344">
        <f aca="true" t="shared" si="3" ref="E9:E34">D9*$Z$8</f>
        <v>2955</v>
      </c>
      <c r="F9" s="345">
        <v>14860</v>
      </c>
      <c r="G9" s="344">
        <f aca="true" t="shared" si="4" ref="G9:G34">ROUND(F9*$V$8%,0)</f>
        <v>3689</v>
      </c>
      <c r="H9" s="344">
        <f aca="true" t="shared" si="5" ref="H9:H34">ROUND(F9*$W$8%,0)</f>
        <v>2417</v>
      </c>
      <c r="I9" s="344">
        <f aca="true" t="shared" si="6" ref="I9:I34">G9-H9</f>
        <v>1272</v>
      </c>
      <c r="J9" s="344">
        <f aca="true" t="shared" si="7" ref="J9:J34">I9*$Z$8</f>
        <v>6360</v>
      </c>
      <c r="K9" s="345">
        <v>30750</v>
      </c>
      <c r="L9" s="344">
        <f aca="true" t="shared" si="8" ref="L9:L33">ROUND(K9*$V$8%,0)</f>
        <v>7633</v>
      </c>
      <c r="M9" s="344">
        <f aca="true" t="shared" si="9" ref="M9:M33">ROUND(K9*$W$8%,0)</f>
        <v>5001</v>
      </c>
      <c r="N9" s="344">
        <f aca="true" t="shared" si="10" ref="N9:N33">L9-M9</f>
        <v>2632</v>
      </c>
      <c r="O9" s="346">
        <f aca="true" t="shared" si="11" ref="O9:O33">N9*$Z$8</f>
        <v>13160</v>
      </c>
      <c r="U9" s="54">
        <v>1</v>
      </c>
      <c r="V9" s="350">
        <v>29.96</v>
      </c>
      <c r="W9" s="54">
        <v>24.824</v>
      </c>
      <c r="X9" s="54">
        <v>104</v>
      </c>
      <c r="Y9" s="351">
        <v>40693</v>
      </c>
      <c r="Z9" s="54">
        <v>4</v>
      </c>
      <c r="AA9" s="352" t="s">
        <v>309</v>
      </c>
      <c r="AB9" s="352" t="s">
        <v>310</v>
      </c>
      <c r="AC9" s="352" t="s">
        <v>311</v>
      </c>
      <c r="AD9" s="54" t="str">
        <f>CONCATENATE("From ",AA9," to ",AB9," credited to GPF Account and from ",AC9," Paid in cash. As per GO Ms No: ",X9," dated: ",DAY(Y9),"/",MONTH(Y9),"/",YEAR(Y9))</f>
        <v>From January_2011 to April_2011 credited to GPF Account and from May_2011 Paid in cash. As per GO Ms No: 104 dated: 30/5/2011</v>
      </c>
    </row>
    <row r="10" spans="1:30" ht="15">
      <c r="A10" s="349">
        <v>7100</v>
      </c>
      <c r="B10" s="344">
        <f t="shared" si="0"/>
        <v>1763</v>
      </c>
      <c r="C10" s="344">
        <f t="shared" si="1"/>
        <v>1155</v>
      </c>
      <c r="D10" s="344">
        <f t="shared" si="2"/>
        <v>608</v>
      </c>
      <c r="E10" s="344">
        <f t="shared" si="3"/>
        <v>3040</v>
      </c>
      <c r="F10" s="345">
        <v>15280</v>
      </c>
      <c r="G10" s="344">
        <f t="shared" si="4"/>
        <v>3793</v>
      </c>
      <c r="H10" s="344">
        <f t="shared" si="5"/>
        <v>2485</v>
      </c>
      <c r="I10" s="344">
        <f t="shared" si="6"/>
        <v>1308</v>
      </c>
      <c r="J10" s="344">
        <f t="shared" si="7"/>
        <v>6540</v>
      </c>
      <c r="K10" s="345">
        <v>31550</v>
      </c>
      <c r="L10" s="344">
        <f t="shared" si="8"/>
        <v>7832</v>
      </c>
      <c r="M10" s="344">
        <f t="shared" si="9"/>
        <v>5131</v>
      </c>
      <c r="N10" s="344">
        <f t="shared" si="10"/>
        <v>2701</v>
      </c>
      <c r="O10" s="346">
        <f t="shared" si="11"/>
        <v>13505</v>
      </c>
      <c r="U10" s="54">
        <v>2</v>
      </c>
      <c r="V10" s="54">
        <v>24.824</v>
      </c>
      <c r="W10" s="54">
        <v>16.264</v>
      </c>
      <c r="X10" s="54">
        <v>356</v>
      </c>
      <c r="Y10" s="351">
        <v>40518</v>
      </c>
      <c r="Z10" s="54">
        <v>5</v>
      </c>
      <c r="AA10" s="54" t="s">
        <v>312</v>
      </c>
      <c r="AB10" s="54" t="s">
        <v>313</v>
      </c>
      <c r="AC10" s="54" t="s">
        <v>314</v>
      </c>
      <c r="AD10" s="54" t="str">
        <f>CONCATENATE("From ",AA10," to ",AB10," credited to GPF Account and from ",AC10," Paid in cash. As per GO Ms No: ",X10," dated: ",DAY(Y10),"/",MONTH(Y10),"/",YEAR(Y10))</f>
        <v>From July_2010 to November_2010 credited to GPF Account and from December_2010 Paid in cash. As per GO Ms No: 356 dated: 6/12/2010</v>
      </c>
    </row>
    <row r="11" spans="1:30" ht="15">
      <c r="A11" s="349">
        <v>7300</v>
      </c>
      <c r="B11" s="344">
        <f t="shared" si="0"/>
        <v>1812</v>
      </c>
      <c r="C11" s="344">
        <f t="shared" si="1"/>
        <v>1187</v>
      </c>
      <c r="D11" s="344">
        <f t="shared" si="2"/>
        <v>625</v>
      </c>
      <c r="E11" s="344">
        <f t="shared" si="3"/>
        <v>3125</v>
      </c>
      <c r="F11" s="345">
        <v>15700</v>
      </c>
      <c r="G11" s="344">
        <f t="shared" si="4"/>
        <v>3897</v>
      </c>
      <c r="H11" s="344">
        <f t="shared" si="5"/>
        <v>2553</v>
      </c>
      <c r="I11" s="344">
        <f t="shared" si="6"/>
        <v>1344</v>
      </c>
      <c r="J11" s="344">
        <f t="shared" si="7"/>
        <v>6720</v>
      </c>
      <c r="K11" s="345">
        <v>32350</v>
      </c>
      <c r="L11" s="344">
        <f t="shared" si="8"/>
        <v>8031</v>
      </c>
      <c r="M11" s="344">
        <f t="shared" si="9"/>
        <v>5261</v>
      </c>
      <c r="N11" s="344">
        <f t="shared" si="10"/>
        <v>2770</v>
      </c>
      <c r="O11" s="346">
        <f t="shared" si="11"/>
        <v>13850</v>
      </c>
      <c r="U11" s="54">
        <v>3</v>
      </c>
      <c r="V11" s="54">
        <v>16.264</v>
      </c>
      <c r="W11" s="54">
        <v>9.416</v>
      </c>
      <c r="X11" s="54">
        <v>248</v>
      </c>
      <c r="Y11" s="351">
        <v>40366</v>
      </c>
      <c r="Z11" s="54">
        <v>5</v>
      </c>
      <c r="AA11" s="54" t="s">
        <v>315</v>
      </c>
      <c r="AB11" s="54" t="s">
        <v>316</v>
      </c>
      <c r="AC11" s="54" t="s">
        <v>312</v>
      </c>
      <c r="AD11" s="54" t="str">
        <f>CONCATENATE("From ",AA11," to ",AB11," credited to GPF Account and from ",AC11," Paid in cash. As per GO Ms No: ",X11," dated: ",DAY(Y11),"/",MONTH(Y11),"/",YEAR(Y11))</f>
        <v>From February_2010 to June_2010 credited to GPF Account and from July_2010 Paid in cash. As per GO Ms No: 248 dated: 7/7/2010</v>
      </c>
    </row>
    <row r="12" spans="1:30" ht="15">
      <c r="A12" s="349">
        <v>7520</v>
      </c>
      <c r="B12" s="344">
        <f t="shared" si="0"/>
        <v>1867</v>
      </c>
      <c r="C12" s="344">
        <f t="shared" si="1"/>
        <v>1223</v>
      </c>
      <c r="D12" s="344">
        <f t="shared" si="2"/>
        <v>644</v>
      </c>
      <c r="E12" s="344">
        <f t="shared" si="3"/>
        <v>3220</v>
      </c>
      <c r="F12" s="345">
        <v>16150</v>
      </c>
      <c r="G12" s="344">
        <f t="shared" si="4"/>
        <v>4009</v>
      </c>
      <c r="H12" s="344">
        <f t="shared" si="5"/>
        <v>2627</v>
      </c>
      <c r="I12" s="344">
        <f t="shared" si="6"/>
        <v>1382</v>
      </c>
      <c r="J12" s="344">
        <f t="shared" si="7"/>
        <v>6910</v>
      </c>
      <c r="K12" s="345">
        <v>33200</v>
      </c>
      <c r="L12" s="344">
        <f t="shared" si="8"/>
        <v>8242</v>
      </c>
      <c r="M12" s="344">
        <f t="shared" si="9"/>
        <v>5400</v>
      </c>
      <c r="N12" s="344">
        <f t="shared" si="10"/>
        <v>2842</v>
      </c>
      <c r="O12" s="346">
        <f t="shared" si="11"/>
        <v>14210</v>
      </c>
      <c r="U12" s="54">
        <v>4</v>
      </c>
      <c r="V12" s="54">
        <v>35.952</v>
      </c>
      <c r="W12" s="54">
        <v>29.96</v>
      </c>
      <c r="X12" s="54" t="s">
        <v>317</v>
      </c>
      <c r="Y12" s="54" t="s">
        <v>318</v>
      </c>
      <c r="Z12" s="54">
        <v>5</v>
      </c>
      <c r="AA12" s="54" t="s">
        <v>319</v>
      </c>
      <c r="AB12" s="54" t="s">
        <v>320</v>
      </c>
      <c r="AC12" s="54" t="s">
        <v>321</v>
      </c>
      <c r="AD12" s="54" t="str">
        <f>CONCATENATE("From ",AA12," to ",AB12," credited to GPF Account and from ",AC12," Paid in cash. As per GO Ms No: ","_______"," dated:___________ ")</f>
        <v>From July_2011 to November_2011 credited to GPF Account and from December_2011 Paid in cash. As per GO Ms No: _______ dated:___________ </v>
      </c>
    </row>
    <row r="13" spans="1:15" ht="15">
      <c r="A13" s="349">
        <v>7740</v>
      </c>
      <c r="B13" s="344">
        <f t="shared" si="0"/>
        <v>1921</v>
      </c>
      <c r="C13" s="344">
        <f t="shared" si="1"/>
        <v>1259</v>
      </c>
      <c r="D13" s="344">
        <f t="shared" si="2"/>
        <v>662</v>
      </c>
      <c r="E13" s="344">
        <f t="shared" si="3"/>
        <v>3310</v>
      </c>
      <c r="F13" s="345">
        <v>16600</v>
      </c>
      <c r="G13" s="344">
        <f t="shared" si="4"/>
        <v>4121</v>
      </c>
      <c r="H13" s="344">
        <f t="shared" si="5"/>
        <v>2700</v>
      </c>
      <c r="I13" s="344">
        <f t="shared" si="6"/>
        <v>1421</v>
      </c>
      <c r="J13" s="344">
        <f t="shared" si="7"/>
        <v>7105</v>
      </c>
      <c r="K13" s="345">
        <v>34050</v>
      </c>
      <c r="L13" s="344">
        <f t="shared" si="8"/>
        <v>8453</v>
      </c>
      <c r="M13" s="344">
        <f t="shared" si="9"/>
        <v>5538</v>
      </c>
      <c r="N13" s="344">
        <f t="shared" si="10"/>
        <v>2915</v>
      </c>
      <c r="O13" s="346">
        <f t="shared" si="11"/>
        <v>14575</v>
      </c>
    </row>
    <row r="14" spans="1:15" ht="15">
      <c r="A14" s="349">
        <v>7960</v>
      </c>
      <c r="B14" s="344">
        <f t="shared" si="0"/>
        <v>1976</v>
      </c>
      <c r="C14" s="344">
        <f t="shared" si="1"/>
        <v>1295</v>
      </c>
      <c r="D14" s="344">
        <f t="shared" si="2"/>
        <v>681</v>
      </c>
      <c r="E14" s="344">
        <f t="shared" si="3"/>
        <v>3405</v>
      </c>
      <c r="F14" s="345">
        <v>17050</v>
      </c>
      <c r="G14" s="344">
        <f t="shared" si="4"/>
        <v>4232</v>
      </c>
      <c r="H14" s="344">
        <f t="shared" si="5"/>
        <v>2773</v>
      </c>
      <c r="I14" s="344">
        <f t="shared" si="6"/>
        <v>1459</v>
      </c>
      <c r="J14" s="344">
        <f t="shared" si="7"/>
        <v>7295</v>
      </c>
      <c r="K14" s="345">
        <v>34900</v>
      </c>
      <c r="L14" s="344">
        <f t="shared" si="8"/>
        <v>8664</v>
      </c>
      <c r="M14" s="344">
        <f t="shared" si="9"/>
        <v>5676</v>
      </c>
      <c r="N14" s="344">
        <f t="shared" si="10"/>
        <v>2988</v>
      </c>
      <c r="O14" s="346">
        <f t="shared" si="11"/>
        <v>14940</v>
      </c>
    </row>
    <row r="15" spans="1:15" ht="15">
      <c r="A15" s="349">
        <v>8200</v>
      </c>
      <c r="B15" s="344">
        <f t="shared" si="0"/>
        <v>2036</v>
      </c>
      <c r="C15" s="344">
        <f t="shared" si="1"/>
        <v>1334</v>
      </c>
      <c r="D15" s="344">
        <f t="shared" si="2"/>
        <v>702</v>
      </c>
      <c r="E15" s="344">
        <f t="shared" si="3"/>
        <v>3510</v>
      </c>
      <c r="F15" s="345">
        <v>17540</v>
      </c>
      <c r="G15" s="344">
        <f t="shared" si="4"/>
        <v>4354</v>
      </c>
      <c r="H15" s="344">
        <f t="shared" si="5"/>
        <v>2853</v>
      </c>
      <c r="I15" s="344">
        <f t="shared" si="6"/>
        <v>1501</v>
      </c>
      <c r="J15" s="344">
        <f t="shared" si="7"/>
        <v>7505</v>
      </c>
      <c r="K15" s="345">
        <v>35800</v>
      </c>
      <c r="L15" s="344">
        <f t="shared" si="8"/>
        <v>8887</v>
      </c>
      <c r="M15" s="344">
        <f t="shared" si="9"/>
        <v>5823</v>
      </c>
      <c r="N15" s="344">
        <f t="shared" si="10"/>
        <v>3064</v>
      </c>
      <c r="O15" s="346">
        <f t="shared" si="11"/>
        <v>15320</v>
      </c>
    </row>
    <row r="16" spans="1:15" ht="15">
      <c r="A16" s="349">
        <v>8440</v>
      </c>
      <c r="B16" s="344">
        <f t="shared" si="0"/>
        <v>2095</v>
      </c>
      <c r="C16" s="344">
        <f t="shared" si="1"/>
        <v>1373</v>
      </c>
      <c r="D16" s="344">
        <f t="shared" si="2"/>
        <v>722</v>
      </c>
      <c r="E16" s="344">
        <f t="shared" si="3"/>
        <v>3610</v>
      </c>
      <c r="F16" s="345">
        <v>18030</v>
      </c>
      <c r="G16" s="344">
        <f t="shared" si="4"/>
        <v>4476</v>
      </c>
      <c r="H16" s="344">
        <f t="shared" si="5"/>
        <v>2932</v>
      </c>
      <c r="I16" s="344">
        <f t="shared" si="6"/>
        <v>1544</v>
      </c>
      <c r="J16" s="344">
        <f t="shared" si="7"/>
        <v>7720</v>
      </c>
      <c r="K16" s="345">
        <v>36700</v>
      </c>
      <c r="L16" s="344">
        <f t="shared" si="8"/>
        <v>9110</v>
      </c>
      <c r="M16" s="344">
        <f t="shared" si="9"/>
        <v>5969</v>
      </c>
      <c r="N16" s="344">
        <f t="shared" si="10"/>
        <v>3141</v>
      </c>
      <c r="O16" s="346">
        <f t="shared" si="11"/>
        <v>15705</v>
      </c>
    </row>
    <row r="17" spans="1:15" ht="15">
      <c r="A17" s="349">
        <v>8680</v>
      </c>
      <c r="B17" s="344">
        <f t="shared" si="0"/>
        <v>2155</v>
      </c>
      <c r="C17" s="344">
        <f t="shared" si="1"/>
        <v>1412</v>
      </c>
      <c r="D17" s="344">
        <f t="shared" si="2"/>
        <v>743</v>
      </c>
      <c r="E17" s="344">
        <f t="shared" si="3"/>
        <v>3715</v>
      </c>
      <c r="F17" s="345">
        <v>18520</v>
      </c>
      <c r="G17" s="344">
        <f t="shared" si="4"/>
        <v>4597</v>
      </c>
      <c r="H17" s="344">
        <f t="shared" si="5"/>
        <v>3012</v>
      </c>
      <c r="I17" s="344">
        <f t="shared" si="6"/>
        <v>1585</v>
      </c>
      <c r="J17" s="344">
        <f t="shared" si="7"/>
        <v>7925</v>
      </c>
      <c r="K17" s="345">
        <v>37600</v>
      </c>
      <c r="L17" s="344">
        <f t="shared" si="8"/>
        <v>9334</v>
      </c>
      <c r="M17" s="344">
        <f t="shared" si="9"/>
        <v>6115</v>
      </c>
      <c r="N17" s="344">
        <f t="shared" si="10"/>
        <v>3219</v>
      </c>
      <c r="O17" s="346">
        <f t="shared" si="11"/>
        <v>16095</v>
      </c>
    </row>
    <row r="18" spans="1:15" ht="15">
      <c r="A18" s="349">
        <v>8940</v>
      </c>
      <c r="B18" s="344">
        <f t="shared" si="0"/>
        <v>2219</v>
      </c>
      <c r="C18" s="344">
        <f t="shared" si="1"/>
        <v>1454</v>
      </c>
      <c r="D18" s="344">
        <f t="shared" si="2"/>
        <v>765</v>
      </c>
      <c r="E18" s="344">
        <f t="shared" si="3"/>
        <v>3825</v>
      </c>
      <c r="F18" s="345">
        <v>19050</v>
      </c>
      <c r="G18" s="344">
        <f t="shared" si="4"/>
        <v>4729</v>
      </c>
      <c r="H18" s="344">
        <f t="shared" si="5"/>
        <v>3098</v>
      </c>
      <c r="I18" s="344">
        <f t="shared" si="6"/>
        <v>1631</v>
      </c>
      <c r="J18" s="344">
        <f t="shared" si="7"/>
        <v>8155</v>
      </c>
      <c r="K18" s="345">
        <v>38570</v>
      </c>
      <c r="L18" s="344">
        <f t="shared" si="8"/>
        <v>9575</v>
      </c>
      <c r="M18" s="344">
        <f t="shared" si="9"/>
        <v>6273</v>
      </c>
      <c r="N18" s="344">
        <f t="shared" si="10"/>
        <v>3302</v>
      </c>
      <c r="O18" s="346">
        <f t="shared" si="11"/>
        <v>16510</v>
      </c>
    </row>
    <row r="19" spans="1:15" ht="15">
      <c r="A19" s="349">
        <v>9200</v>
      </c>
      <c r="B19" s="344">
        <f t="shared" si="0"/>
        <v>2284</v>
      </c>
      <c r="C19" s="344">
        <f t="shared" si="1"/>
        <v>1496</v>
      </c>
      <c r="D19" s="344">
        <f t="shared" si="2"/>
        <v>788</v>
      </c>
      <c r="E19" s="344">
        <f t="shared" si="3"/>
        <v>3940</v>
      </c>
      <c r="F19" s="345">
        <v>19580</v>
      </c>
      <c r="G19" s="344">
        <f t="shared" si="4"/>
        <v>4861</v>
      </c>
      <c r="H19" s="344">
        <f t="shared" si="5"/>
        <v>3184</v>
      </c>
      <c r="I19" s="344">
        <f t="shared" si="6"/>
        <v>1677</v>
      </c>
      <c r="J19" s="344">
        <f t="shared" si="7"/>
        <v>8385</v>
      </c>
      <c r="K19" s="345">
        <v>39540</v>
      </c>
      <c r="L19" s="344">
        <f t="shared" si="8"/>
        <v>9815</v>
      </c>
      <c r="M19" s="344">
        <f t="shared" si="9"/>
        <v>6431</v>
      </c>
      <c r="N19" s="344">
        <f t="shared" si="10"/>
        <v>3384</v>
      </c>
      <c r="O19" s="346">
        <f t="shared" si="11"/>
        <v>16920</v>
      </c>
    </row>
    <row r="20" spans="1:15" ht="15">
      <c r="A20" s="349">
        <v>9460</v>
      </c>
      <c r="B20" s="344">
        <f t="shared" si="0"/>
        <v>2348</v>
      </c>
      <c r="C20" s="344">
        <f t="shared" si="1"/>
        <v>1539</v>
      </c>
      <c r="D20" s="344">
        <f t="shared" si="2"/>
        <v>809</v>
      </c>
      <c r="E20" s="344">
        <f t="shared" si="3"/>
        <v>4045</v>
      </c>
      <c r="F20" s="345">
        <v>20110</v>
      </c>
      <c r="G20" s="344">
        <f t="shared" si="4"/>
        <v>4992</v>
      </c>
      <c r="H20" s="344">
        <f t="shared" si="5"/>
        <v>3271</v>
      </c>
      <c r="I20" s="344">
        <f t="shared" si="6"/>
        <v>1721</v>
      </c>
      <c r="J20" s="344">
        <f t="shared" si="7"/>
        <v>8605</v>
      </c>
      <c r="K20" s="345">
        <v>40510</v>
      </c>
      <c r="L20" s="344">
        <f t="shared" si="8"/>
        <v>10056</v>
      </c>
      <c r="M20" s="344">
        <f t="shared" si="9"/>
        <v>6589</v>
      </c>
      <c r="N20" s="344">
        <f t="shared" si="10"/>
        <v>3467</v>
      </c>
      <c r="O20" s="346">
        <f t="shared" si="11"/>
        <v>17335</v>
      </c>
    </row>
    <row r="21" spans="1:15" ht="15">
      <c r="A21" s="349">
        <v>9740</v>
      </c>
      <c r="B21" s="344">
        <f t="shared" si="0"/>
        <v>2418</v>
      </c>
      <c r="C21" s="344">
        <f t="shared" si="1"/>
        <v>1584</v>
      </c>
      <c r="D21" s="344">
        <f t="shared" si="2"/>
        <v>834</v>
      </c>
      <c r="E21" s="344">
        <f t="shared" si="3"/>
        <v>4170</v>
      </c>
      <c r="F21" s="345">
        <v>20680</v>
      </c>
      <c r="G21" s="344">
        <f t="shared" si="4"/>
        <v>5134</v>
      </c>
      <c r="H21" s="344">
        <f t="shared" si="5"/>
        <v>3363</v>
      </c>
      <c r="I21" s="344">
        <f t="shared" si="6"/>
        <v>1771</v>
      </c>
      <c r="J21" s="344">
        <f t="shared" si="7"/>
        <v>8855</v>
      </c>
      <c r="K21" s="345">
        <v>41550</v>
      </c>
      <c r="L21" s="344">
        <f t="shared" si="8"/>
        <v>10314</v>
      </c>
      <c r="M21" s="344">
        <f t="shared" si="9"/>
        <v>6758</v>
      </c>
      <c r="N21" s="344">
        <f t="shared" si="10"/>
        <v>3556</v>
      </c>
      <c r="O21" s="346">
        <f t="shared" si="11"/>
        <v>17780</v>
      </c>
    </row>
    <row r="22" spans="1:15" ht="15">
      <c r="A22" s="349">
        <v>10020</v>
      </c>
      <c r="B22" s="344">
        <f t="shared" si="0"/>
        <v>2487</v>
      </c>
      <c r="C22" s="344">
        <f t="shared" si="1"/>
        <v>1630</v>
      </c>
      <c r="D22" s="344">
        <f t="shared" si="2"/>
        <v>857</v>
      </c>
      <c r="E22" s="344">
        <f t="shared" si="3"/>
        <v>4285</v>
      </c>
      <c r="F22" s="345">
        <v>21250</v>
      </c>
      <c r="G22" s="344">
        <f t="shared" si="4"/>
        <v>5275</v>
      </c>
      <c r="H22" s="344">
        <f t="shared" si="5"/>
        <v>3456</v>
      </c>
      <c r="I22" s="344">
        <f t="shared" si="6"/>
        <v>1819</v>
      </c>
      <c r="J22" s="344">
        <f t="shared" si="7"/>
        <v>9095</v>
      </c>
      <c r="K22" s="345">
        <v>42590</v>
      </c>
      <c r="L22" s="344">
        <f t="shared" si="8"/>
        <v>10573</v>
      </c>
      <c r="M22" s="344">
        <f t="shared" si="9"/>
        <v>6927</v>
      </c>
      <c r="N22" s="344">
        <f t="shared" si="10"/>
        <v>3646</v>
      </c>
      <c r="O22" s="346">
        <f t="shared" si="11"/>
        <v>18230</v>
      </c>
    </row>
    <row r="23" spans="1:15" ht="15">
      <c r="A23" s="349">
        <v>10300</v>
      </c>
      <c r="B23" s="344">
        <f t="shared" si="0"/>
        <v>2557</v>
      </c>
      <c r="C23" s="344">
        <f t="shared" si="1"/>
        <v>1675</v>
      </c>
      <c r="D23" s="344">
        <f t="shared" si="2"/>
        <v>882</v>
      </c>
      <c r="E23" s="344">
        <f t="shared" si="3"/>
        <v>4410</v>
      </c>
      <c r="F23" s="345">
        <v>21820</v>
      </c>
      <c r="G23" s="344">
        <f t="shared" si="4"/>
        <v>5417</v>
      </c>
      <c r="H23" s="344">
        <f t="shared" si="5"/>
        <v>3549</v>
      </c>
      <c r="I23" s="344">
        <f t="shared" si="6"/>
        <v>1868</v>
      </c>
      <c r="J23" s="344">
        <f t="shared" si="7"/>
        <v>9340</v>
      </c>
      <c r="K23" s="345">
        <v>43630</v>
      </c>
      <c r="L23" s="344">
        <f t="shared" si="8"/>
        <v>10831</v>
      </c>
      <c r="M23" s="344">
        <f t="shared" si="9"/>
        <v>7096</v>
      </c>
      <c r="N23" s="344">
        <f t="shared" si="10"/>
        <v>3735</v>
      </c>
      <c r="O23" s="346">
        <f t="shared" si="11"/>
        <v>18675</v>
      </c>
    </row>
    <row r="24" spans="1:15" ht="15">
      <c r="A24" s="349">
        <v>10600</v>
      </c>
      <c r="B24" s="344">
        <f t="shared" si="0"/>
        <v>2631</v>
      </c>
      <c r="C24" s="344">
        <f t="shared" si="1"/>
        <v>1724</v>
      </c>
      <c r="D24" s="344">
        <f t="shared" si="2"/>
        <v>907</v>
      </c>
      <c r="E24" s="344">
        <f t="shared" si="3"/>
        <v>4535</v>
      </c>
      <c r="F24" s="345">
        <v>22430</v>
      </c>
      <c r="G24" s="344">
        <f t="shared" si="4"/>
        <v>5568</v>
      </c>
      <c r="H24" s="344">
        <f t="shared" si="5"/>
        <v>3648</v>
      </c>
      <c r="I24" s="344">
        <f t="shared" si="6"/>
        <v>1920</v>
      </c>
      <c r="J24" s="344">
        <f t="shared" si="7"/>
        <v>9600</v>
      </c>
      <c r="K24" s="345">
        <v>44740</v>
      </c>
      <c r="L24" s="344">
        <f t="shared" si="8"/>
        <v>11106</v>
      </c>
      <c r="M24" s="344">
        <f t="shared" si="9"/>
        <v>7277</v>
      </c>
      <c r="N24" s="344">
        <f t="shared" si="10"/>
        <v>3829</v>
      </c>
      <c r="O24" s="346">
        <f t="shared" si="11"/>
        <v>19145</v>
      </c>
    </row>
    <row r="25" spans="1:15" ht="15">
      <c r="A25" s="349">
        <v>10900</v>
      </c>
      <c r="B25" s="344">
        <f t="shared" si="0"/>
        <v>2706</v>
      </c>
      <c r="C25" s="344">
        <f t="shared" si="1"/>
        <v>1773</v>
      </c>
      <c r="D25" s="344">
        <f t="shared" si="2"/>
        <v>933</v>
      </c>
      <c r="E25" s="344">
        <f t="shared" si="3"/>
        <v>4665</v>
      </c>
      <c r="F25" s="345">
        <v>23040</v>
      </c>
      <c r="G25" s="344">
        <f t="shared" si="4"/>
        <v>5719</v>
      </c>
      <c r="H25" s="344">
        <f t="shared" si="5"/>
        <v>3747</v>
      </c>
      <c r="I25" s="344">
        <f t="shared" si="6"/>
        <v>1972</v>
      </c>
      <c r="J25" s="344">
        <f t="shared" si="7"/>
        <v>9860</v>
      </c>
      <c r="K25" s="345">
        <v>45850</v>
      </c>
      <c r="L25" s="344">
        <f t="shared" si="8"/>
        <v>11382</v>
      </c>
      <c r="M25" s="344">
        <f t="shared" si="9"/>
        <v>7457</v>
      </c>
      <c r="N25" s="344">
        <f t="shared" si="10"/>
        <v>3925</v>
      </c>
      <c r="O25" s="346">
        <f t="shared" si="11"/>
        <v>19625</v>
      </c>
    </row>
    <row r="26" spans="1:15" ht="15">
      <c r="A26" s="349">
        <v>11200</v>
      </c>
      <c r="B26" s="344">
        <f t="shared" si="0"/>
        <v>2780</v>
      </c>
      <c r="C26" s="344">
        <f t="shared" si="1"/>
        <v>1822</v>
      </c>
      <c r="D26" s="344">
        <f t="shared" si="2"/>
        <v>958</v>
      </c>
      <c r="E26" s="344">
        <f t="shared" si="3"/>
        <v>4790</v>
      </c>
      <c r="F26" s="345">
        <v>23650</v>
      </c>
      <c r="G26" s="344">
        <f t="shared" si="4"/>
        <v>5871</v>
      </c>
      <c r="H26" s="344">
        <f t="shared" si="5"/>
        <v>3846</v>
      </c>
      <c r="I26" s="344">
        <f t="shared" si="6"/>
        <v>2025</v>
      </c>
      <c r="J26" s="344">
        <f t="shared" si="7"/>
        <v>10125</v>
      </c>
      <c r="K26" s="345">
        <v>46960</v>
      </c>
      <c r="L26" s="344">
        <f t="shared" si="8"/>
        <v>11657</v>
      </c>
      <c r="M26" s="344">
        <f t="shared" si="9"/>
        <v>7638</v>
      </c>
      <c r="N26" s="344">
        <f t="shared" si="10"/>
        <v>4019</v>
      </c>
      <c r="O26" s="346">
        <f t="shared" si="11"/>
        <v>20095</v>
      </c>
    </row>
    <row r="27" spans="1:15" ht="15">
      <c r="A27" s="349">
        <v>11530</v>
      </c>
      <c r="B27" s="344">
        <f t="shared" si="0"/>
        <v>2862</v>
      </c>
      <c r="C27" s="344">
        <f t="shared" si="1"/>
        <v>1875</v>
      </c>
      <c r="D27" s="344">
        <f t="shared" si="2"/>
        <v>987</v>
      </c>
      <c r="E27" s="344">
        <f t="shared" si="3"/>
        <v>4935</v>
      </c>
      <c r="F27" s="345">
        <v>24300</v>
      </c>
      <c r="G27" s="344">
        <f t="shared" si="4"/>
        <v>6032</v>
      </c>
      <c r="H27" s="344">
        <f t="shared" si="5"/>
        <v>3952</v>
      </c>
      <c r="I27" s="344">
        <f t="shared" si="6"/>
        <v>2080</v>
      </c>
      <c r="J27" s="344">
        <f t="shared" si="7"/>
        <v>10400</v>
      </c>
      <c r="K27" s="345">
        <v>48160</v>
      </c>
      <c r="L27" s="344">
        <f t="shared" si="8"/>
        <v>11955</v>
      </c>
      <c r="M27" s="344">
        <f t="shared" si="9"/>
        <v>7833</v>
      </c>
      <c r="N27" s="344">
        <f t="shared" si="10"/>
        <v>4122</v>
      </c>
      <c r="O27" s="346">
        <f t="shared" si="11"/>
        <v>20610</v>
      </c>
    </row>
    <row r="28" spans="1:15" ht="15">
      <c r="A28" s="349">
        <v>11860</v>
      </c>
      <c r="B28" s="344">
        <f t="shared" si="0"/>
        <v>2944</v>
      </c>
      <c r="C28" s="344">
        <f t="shared" si="1"/>
        <v>1929</v>
      </c>
      <c r="D28" s="344">
        <f t="shared" si="2"/>
        <v>1015</v>
      </c>
      <c r="E28" s="344">
        <f t="shared" si="3"/>
        <v>5075</v>
      </c>
      <c r="F28" s="345">
        <v>24950</v>
      </c>
      <c r="G28" s="344">
        <f t="shared" si="4"/>
        <v>6194</v>
      </c>
      <c r="H28" s="344">
        <f t="shared" si="5"/>
        <v>4058</v>
      </c>
      <c r="I28" s="344">
        <f t="shared" si="6"/>
        <v>2136</v>
      </c>
      <c r="J28" s="344">
        <f t="shared" si="7"/>
        <v>10680</v>
      </c>
      <c r="K28" s="345">
        <v>49360</v>
      </c>
      <c r="L28" s="344">
        <f t="shared" si="8"/>
        <v>12253</v>
      </c>
      <c r="M28" s="344">
        <f t="shared" si="9"/>
        <v>8028</v>
      </c>
      <c r="N28" s="344">
        <f t="shared" si="10"/>
        <v>4225</v>
      </c>
      <c r="O28" s="346">
        <f t="shared" si="11"/>
        <v>21125</v>
      </c>
    </row>
    <row r="29" spans="1:15" ht="15">
      <c r="A29" s="349">
        <v>12190</v>
      </c>
      <c r="B29" s="344">
        <f t="shared" si="0"/>
        <v>3026</v>
      </c>
      <c r="C29" s="344">
        <f t="shared" si="1"/>
        <v>1983</v>
      </c>
      <c r="D29" s="344">
        <f t="shared" si="2"/>
        <v>1043</v>
      </c>
      <c r="E29" s="344">
        <f t="shared" si="3"/>
        <v>5215</v>
      </c>
      <c r="F29" s="345">
        <v>25600</v>
      </c>
      <c r="G29" s="344">
        <f t="shared" si="4"/>
        <v>6355</v>
      </c>
      <c r="H29" s="344">
        <f t="shared" si="5"/>
        <v>4164</v>
      </c>
      <c r="I29" s="344">
        <f t="shared" si="6"/>
        <v>2191</v>
      </c>
      <c r="J29" s="344">
        <f t="shared" si="7"/>
        <v>10955</v>
      </c>
      <c r="K29" s="345">
        <v>50560</v>
      </c>
      <c r="L29" s="344">
        <f t="shared" si="8"/>
        <v>12551</v>
      </c>
      <c r="M29" s="344">
        <f t="shared" si="9"/>
        <v>8223</v>
      </c>
      <c r="N29" s="344">
        <f t="shared" si="10"/>
        <v>4328</v>
      </c>
      <c r="O29" s="346">
        <f t="shared" si="11"/>
        <v>21640</v>
      </c>
    </row>
    <row r="30" spans="1:15" ht="15">
      <c r="A30" s="349">
        <v>12550</v>
      </c>
      <c r="B30" s="344">
        <f t="shared" si="0"/>
        <v>3115</v>
      </c>
      <c r="C30" s="344">
        <f t="shared" si="1"/>
        <v>2041</v>
      </c>
      <c r="D30" s="344">
        <f t="shared" si="2"/>
        <v>1074</v>
      </c>
      <c r="E30" s="344">
        <f t="shared" si="3"/>
        <v>5370</v>
      </c>
      <c r="F30" s="345">
        <v>26300</v>
      </c>
      <c r="G30" s="344">
        <f t="shared" si="4"/>
        <v>6529</v>
      </c>
      <c r="H30" s="344">
        <f t="shared" si="5"/>
        <v>4277</v>
      </c>
      <c r="I30" s="344">
        <f t="shared" si="6"/>
        <v>2252</v>
      </c>
      <c r="J30" s="344">
        <f t="shared" si="7"/>
        <v>11260</v>
      </c>
      <c r="K30" s="345">
        <v>51760</v>
      </c>
      <c r="L30" s="344">
        <f t="shared" si="8"/>
        <v>12849</v>
      </c>
      <c r="M30" s="344">
        <f t="shared" si="9"/>
        <v>8418</v>
      </c>
      <c r="N30" s="344">
        <f t="shared" si="10"/>
        <v>4431</v>
      </c>
      <c r="O30" s="346">
        <f t="shared" si="11"/>
        <v>22155</v>
      </c>
    </row>
    <row r="31" spans="1:15" ht="15">
      <c r="A31" s="349">
        <v>12910</v>
      </c>
      <c r="B31" s="344">
        <f t="shared" si="0"/>
        <v>3205</v>
      </c>
      <c r="C31" s="344">
        <f t="shared" si="1"/>
        <v>2100</v>
      </c>
      <c r="D31" s="344">
        <f t="shared" si="2"/>
        <v>1105</v>
      </c>
      <c r="E31" s="344">
        <f t="shared" si="3"/>
        <v>5525</v>
      </c>
      <c r="F31" s="345">
        <v>27000</v>
      </c>
      <c r="G31" s="344">
        <f t="shared" si="4"/>
        <v>6702</v>
      </c>
      <c r="H31" s="344">
        <f t="shared" si="5"/>
        <v>4391</v>
      </c>
      <c r="I31" s="344">
        <f t="shared" si="6"/>
        <v>2311</v>
      </c>
      <c r="J31" s="344">
        <f t="shared" si="7"/>
        <v>11555</v>
      </c>
      <c r="K31" s="345">
        <v>53060</v>
      </c>
      <c r="L31" s="344">
        <f t="shared" si="8"/>
        <v>13172</v>
      </c>
      <c r="M31" s="344">
        <f t="shared" si="9"/>
        <v>8630</v>
      </c>
      <c r="N31" s="344">
        <f t="shared" si="10"/>
        <v>4542</v>
      </c>
      <c r="O31" s="346">
        <f t="shared" si="11"/>
        <v>22710</v>
      </c>
    </row>
    <row r="32" spans="1:15" ht="15">
      <c r="A32" s="349">
        <v>13270</v>
      </c>
      <c r="B32" s="344">
        <f t="shared" si="0"/>
        <v>3294</v>
      </c>
      <c r="C32" s="344">
        <f t="shared" si="1"/>
        <v>2158</v>
      </c>
      <c r="D32" s="344">
        <f t="shared" si="2"/>
        <v>1136</v>
      </c>
      <c r="E32" s="344">
        <f t="shared" si="3"/>
        <v>5680</v>
      </c>
      <c r="F32" s="345">
        <v>27700</v>
      </c>
      <c r="G32" s="344">
        <f t="shared" si="4"/>
        <v>6876</v>
      </c>
      <c r="H32" s="344">
        <f t="shared" si="5"/>
        <v>4505</v>
      </c>
      <c r="I32" s="344">
        <f t="shared" si="6"/>
        <v>2371</v>
      </c>
      <c r="J32" s="344">
        <f t="shared" si="7"/>
        <v>11855</v>
      </c>
      <c r="K32" s="345">
        <v>54360</v>
      </c>
      <c r="L32" s="344">
        <f t="shared" si="8"/>
        <v>13494</v>
      </c>
      <c r="M32" s="344">
        <f t="shared" si="9"/>
        <v>8841</v>
      </c>
      <c r="N32" s="344">
        <f t="shared" si="10"/>
        <v>4653</v>
      </c>
      <c r="O32" s="346">
        <f t="shared" si="11"/>
        <v>23265</v>
      </c>
    </row>
    <row r="33" spans="1:15" ht="15">
      <c r="A33" s="349">
        <v>13660</v>
      </c>
      <c r="B33" s="344">
        <f t="shared" si="0"/>
        <v>3391</v>
      </c>
      <c r="C33" s="344">
        <f t="shared" si="1"/>
        <v>2222</v>
      </c>
      <c r="D33" s="344">
        <f t="shared" si="2"/>
        <v>1169</v>
      </c>
      <c r="E33" s="344">
        <f t="shared" si="3"/>
        <v>5845</v>
      </c>
      <c r="F33" s="345">
        <v>28450</v>
      </c>
      <c r="G33" s="344">
        <f t="shared" si="4"/>
        <v>7062</v>
      </c>
      <c r="H33" s="344">
        <f t="shared" si="5"/>
        <v>4627</v>
      </c>
      <c r="I33" s="344">
        <f t="shared" si="6"/>
        <v>2435</v>
      </c>
      <c r="J33" s="344">
        <f t="shared" si="7"/>
        <v>12175</v>
      </c>
      <c r="K33" s="345">
        <v>55660</v>
      </c>
      <c r="L33" s="344">
        <f t="shared" si="8"/>
        <v>13817</v>
      </c>
      <c r="M33" s="344">
        <f t="shared" si="9"/>
        <v>9053</v>
      </c>
      <c r="N33" s="344">
        <f t="shared" si="10"/>
        <v>4764</v>
      </c>
      <c r="O33" s="346">
        <f t="shared" si="11"/>
        <v>23820</v>
      </c>
    </row>
    <row r="34" spans="1:15" ht="15">
      <c r="A34" s="349">
        <v>14050</v>
      </c>
      <c r="B34" s="344">
        <f t="shared" si="0"/>
        <v>3488</v>
      </c>
      <c r="C34" s="344">
        <f t="shared" si="1"/>
        <v>2285</v>
      </c>
      <c r="D34" s="344">
        <f t="shared" si="2"/>
        <v>1203</v>
      </c>
      <c r="E34" s="344">
        <f t="shared" si="3"/>
        <v>6015</v>
      </c>
      <c r="F34" s="345">
        <v>29200</v>
      </c>
      <c r="G34" s="344">
        <f t="shared" si="4"/>
        <v>7249</v>
      </c>
      <c r="H34" s="344">
        <f t="shared" si="5"/>
        <v>4749</v>
      </c>
      <c r="I34" s="344">
        <f t="shared" si="6"/>
        <v>2500</v>
      </c>
      <c r="J34" s="344">
        <f t="shared" si="7"/>
        <v>12500</v>
      </c>
      <c r="K34" s="685" t="s">
        <v>283</v>
      </c>
      <c r="L34" s="686"/>
      <c r="M34" s="686"/>
      <c r="N34" s="686"/>
      <c r="O34" s="687"/>
    </row>
    <row r="35" spans="1:15" ht="48.75" customHeight="1">
      <c r="A35" s="688" t="s">
        <v>322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90"/>
    </row>
    <row r="36" spans="1:15" ht="12" customHeight="1">
      <c r="A36" s="691" t="s">
        <v>323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5" ht="12" customHeight="1" thickBot="1">
      <c r="A37" s="694" t="s">
        <v>324</v>
      </c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6"/>
    </row>
    <row r="38" spans="1:15" ht="15.75" thickTop="1">
      <c r="A38" s="666" t="s">
        <v>325</v>
      </c>
      <c r="B38" s="667"/>
      <c r="C38" s="667"/>
      <c r="D38" s="667"/>
      <c r="E38" s="668"/>
      <c r="F38" s="667" t="s">
        <v>326</v>
      </c>
      <c r="G38" s="667"/>
      <c r="H38" s="667"/>
      <c r="I38" s="667"/>
      <c r="J38" s="700" t="s">
        <v>327</v>
      </c>
      <c r="K38" s="701"/>
      <c r="L38" s="701"/>
      <c r="M38" s="701"/>
      <c r="N38" s="701"/>
      <c r="O38" s="702"/>
    </row>
    <row r="39" spans="1:15" ht="15">
      <c r="A39" s="353" t="s">
        <v>328</v>
      </c>
      <c r="B39" s="670" t="s">
        <v>329</v>
      </c>
      <c r="C39" s="670"/>
      <c r="D39" s="670" t="s">
        <v>209</v>
      </c>
      <c r="E39" s="671"/>
      <c r="F39" s="354" t="s">
        <v>10</v>
      </c>
      <c r="G39" s="670" t="s">
        <v>329</v>
      </c>
      <c r="H39" s="670"/>
      <c r="I39" s="355" t="s">
        <v>209</v>
      </c>
      <c r="J39" s="703"/>
      <c r="K39" s="703"/>
      <c r="L39" s="703"/>
      <c r="M39" s="703"/>
      <c r="N39" s="703"/>
      <c r="O39" s="704"/>
    </row>
    <row r="40" spans="1:15" ht="15">
      <c r="A40" s="356">
        <v>1</v>
      </c>
      <c r="B40" s="669" t="s">
        <v>330</v>
      </c>
      <c r="C40" s="669"/>
      <c r="D40" s="670">
        <v>250</v>
      </c>
      <c r="E40" s="671"/>
      <c r="F40" s="357">
        <v>1</v>
      </c>
      <c r="G40" s="670" t="s">
        <v>331</v>
      </c>
      <c r="H40" s="670"/>
      <c r="I40" s="354" t="s">
        <v>160</v>
      </c>
      <c r="J40" s="703"/>
      <c r="K40" s="703"/>
      <c r="L40" s="703"/>
      <c r="M40" s="703"/>
      <c r="N40" s="703"/>
      <c r="O40" s="704"/>
    </row>
    <row r="41" spans="1:15" ht="15">
      <c r="A41" s="356">
        <v>2</v>
      </c>
      <c r="B41" s="669" t="s">
        <v>332</v>
      </c>
      <c r="C41" s="669"/>
      <c r="D41" s="670">
        <v>350</v>
      </c>
      <c r="E41" s="671"/>
      <c r="F41" s="357">
        <v>2</v>
      </c>
      <c r="G41" s="354" t="s">
        <v>333</v>
      </c>
      <c r="H41" s="354"/>
      <c r="I41" s="354">
        <v>60</v>
      </c>
      <c r="J41" s="703"/>
      <c r="K41" s="703"/>
      <c r="L41" s="703"/>
      <c r="M41" s="703"/>
      <c r="N41" s="703"/>
      <c r="O41" s="704"/>
    </row>
    <row r="42" spans="1:15" ht="15">
      <c r="A42" s="356">
        <v>3</v>
      </c>
      <c r="B42" s="669" t="s">
        <v>334</v>
      </c>
      <c r="C42" s="669"/>
      <c r="D42" s="670">
        <v>450</v>
      </c>
      <c r="E42" s="671"/>
      <c r="F42" s="357">
        <v>3</v>
      </c>
      <c r="G42" s="354" t="s">
        <v>335</v>
      </c>
      <c r="H42" s="354"/>
      <c r="I42" s="354">
        <v>80</v>
      </c>
      <c r="J42" s="703"/>
      <c r="K42" s="703"/>
      <c r="L42" s="703"/>
      <c r="M42" s="703"/>
      <c r="N42" s="703"/>
      <c r="O42" s="704"/>
    </row>
    <row r="43" spans="1:15" ht="15">
      <c r="A43" s="356">
        <v>4</v>
      </c>
      <c r="B43" s="669" t="s">
        <v>336</v>
      </c>
      <c r="C43" s="669"/>
      <c r="D43" s="670">
        <v>600</v>
      </c>
      <c r="E43" s="671"/>
      <c r="F43" s="357">
        <v>4</v>
      </c>
      <c r="G43" s="354" t="s">
        <v>337</v>
      </c>
      <c r="H43" s="354"/>
      <c r="I43" s="354">
        <v>100</v>
      </c>
      <c r="J43" s="703"/>
      <c r="K43" s="703"/>
      <c r="L43" s="703"/>
      <c r="M43" s="703"/>
      <c r="N43" s="703"/>
      <c r="O43" s="704"/>
    </row>
    <row r="44" spans="1:15" ht="15">
      <c r="A44" s="356">
        <v>5</v>
      </c>
      <c r="B44" s="358" t="s">
        <v>338</v>
      </c>
      <c r="C44" s="358"/>
      <c r="D44" s="670">
        <v>750</v>
      </c>
      <c r="E44" s="671"/>
      <c r="F44" s="357">
        <v>5</v>
      </c>
      <c r="G44" s="354" t="s">
        <v>339</v>
      </c>
      <c r="H44" s="354"/>
      <c r="I44" s="354">
        <v>150</v>
      </c>
      <c r="J44" s="703"/>
      <c r="K44" s="703"/>
      <c r="L44" s="703"/>
      <c r="M44" s="703"/>
      <c r="N44" s="703"/>
      <c r="O44" s="704"/>
    </row>
    <row r="45" spans="1:15" ht="15.75" thickBot="1">
      <c r="A45" s="359">
        <v>6</v>
      </c>
      <c r="B45" s="360" t="s">
        <v>340</v>
      </c>
      <c r="C45" s="360"/>
      <c r="D45" s="672">
        <v>1000</v>
      </c>
      <c r="E45" s="673"/>
      <c r="F45" s="361">
        <v>6</v>
      </c>
      <c r="G45" s="362" t="s">
        <v>341</v>
      </c>
      <c r="H45" s="362"/>
      <c r="I45" s="362">
        <v>200</v>
      </c>
      <c r="J45" s="705"/>
      <c r="K45" s="705"/>
      <c r="L45" s="705"/>
      <c r="M45" s="705"/>
      <c r="N45" s="705"/>
      <c r="O45" s="706"/>
    </row>
    <row r="46" ht="15.75" thickTop="1"/>
    <row r="93" ht="15" hidden="1"/>
    <row r="94" spans="1:2" ht="15" hidden="1">
      <c r="A94" s="54">
        <v>3</v>
      </c>
      <c r="B94" s="54">
        <f>IF(ISERROR(VLOOKUP(A94,A95:B174,2,0)),"",VLOOKUP(A94,A95:B174,2,0))</f>
        <v>7100</v>
      </c>
    </row>
    <row r="95" spans="1:2" ht="15" hidden="1">
      <c r="A95" s="54">
        <f>ROWS($A$1:A1)</f>
        <v>1</v>
      </c>
      <c r="B95" s="363">
        <v>6700</v>
      </c>
    </row>
    <row r="96" spans="1:2" ht="15" hidden="1">
      <c r="A96" s="54">
        <f>ROWS($A$1:A2)</f>
        <v>2</v>
      </c>
      <c r="B96" s="364">
        <v>6900</v>
      </c>
    </row>
    <row r="97" spans="1:2" ht="15" hidden="1">
      <c r="A97" s="54">
        <f>ROWS($A$1:A3)</f>
        <v>3</v>
      </c>
      <c r="B97" s="364">
        <v>7100</v>
      </c>
    </row>
    <row r="98" spans="1:2" ht="15" hidden="1">
      <c r="A98" s="54">
        <f>ROWS($A$1:A6)</f>
        <v>6</v>
      </c>
      <c r="B98" s="364">
        <v>7300</v>
      </c>
    </row>
    <row r="99" spans="1:2" ht="15" hidden="1">
      <c r="A99" s="54">
        <f>ROWS($A$1:A7)</f>
        <v>7</v>
      </c>
      <c r="B99" s="364">
        <v>7520</v>
      </c>
    </row>
    <row r="100" spans="1:2" ht="15" hidden="1">
      <c r="A100" s="54">
        <f>ROWS($A$1:A8)</f>
        <v>8</v>
      </c>
      <c r="B100" s="364">
        <v>7740</v>
      </c>
    </row>
    <row r="101" spans="1:2" ht="15" hidden="1">
      <c r="A101" s="54">
        <f>ROWS($A$1:A9)</f>
        <v>9</v>
      </c>
      <c r="B101" s="364">
        <v>7960</v>
      </c>
    </row>
    <row r="102" spans="1:2" ht="15" hidden="1">
      <c r="A102" s="54">
        <f>ROWS($A$1:A10)</f>
        <v>10</v>
      </c>
      <c r="B102" s="364">
        <v>8200</v>
      </c>
    </row>
    <row r="103" spans="1:2" ht="15" hidden="1">
      <c r="A103" s="54">
        <f>ROWS($A$1:A11)</f>
        <v>11</v>
      </c>
      <c r="B103" s="364">
        <v>8440</v>
      </c>
    </row>
    <row r="104" spans="1:2" ht="15" hidden="1">
      <c r="A104" s="54">
        <f>ROWS($A$1:A12)</f>
        <v>12</v>
      </c>
      <c r="B104" s="364">
        <v>8680</v>
      </c>
    </row>
    <row r="105" spans="1:2" ht="15" hidden="1">
      <c r="A105" s="54">
        <f>ROWS($A$1:A13)</f>
        <v>13</v>
      </c>
      <c r="B105" s="364">
        <v>8940</v>
      </c>
    </row>
    <row r="106" spans="1:2" ht="15" hidden="1">
      <c r="A106" s="54">
        <f>ROWS($A$1:A14)</f>
        <v>14</v>
      </c>
      <c r="B106" s="364">
        <v>9200</v>
      </c>
    </row>
    <row r="107" spans="1:2" ht="15" hidden="1">
      <c r="A107" s="54">
        <f>ROWS($A$1:A15)</f>
        <v>15</v>
      </c>
      <c r="B107" s="364">
        <v>9460</v>
      </c>
    </row>
    <row r="108" spans="1:2" ht="15" hidden="1">
      <c r="A108" s="54">
        <f>ROWS($A$1:A16)</f>
        <v>16</v>
      </c>
      <c r="B108" s="364">
        <v>9740</v>
      </c>
    </row>
    <row r="109" spans="1:2" ht="15" hidden="1">
      <c r="A109" s="54">
        <f>ROWS($A$1:A17)</f>
        <v>17</v>
      </c>
      <c r="B109" s="364">
        <v>10020</v>
      </c>
    </row>
    <row r="110" spans="1:2" ht="15" hidden="1">
      <c r="A110" s="54">
        <f>ROWS($A$1:A18)</f>
        <v>18</v>
      </c>
      <c r="B110" s="364">
        <v>10300</v>
      </c>
    </row>
    <row r="111" spans="1:2" ht="15" hidden="1">
      <c r="A111" s="54">
        <f>ROWS($A$1:A19)</f>
        <v>19</v>
      </c>
      <c r="B111" s="364">
        <v>10600</v>
      </c>
    </row>
    <row r="112" spans="1:2" ht="15" hidden="1">
      <c r="A112" s="54">
        <f>ROWS($A$1:A20)</f>
        <v>20</v>
      </c>
      <c r="B112" s="364">
        <v>10900</v>
      </c>
    </row>
    <row r="113" spans="1:2" ht="15" hidden="1">
      <c r="A113" s="54">
        <f>ROWS($A$1:A21)</f>
        <v>21</v>
      </c>
      <c r="B113" s="364">
        <v>11200</v>
      </c>
    </row>
    <row r="114" spans="1:2" ht="15" hidden="1">
      <c r="A114" s="54">
        <f>ROWS($A$1:A22)</f>
        <v>22</v>
      </c>
      <c r="B114" s="364">
        <v>11530</v>
      </c>
    </row>
    <row r="115" spans="1:2" ht="15" hidden="1">
      <c r="A115" s="54">
        <f>ROWS($A$1:A23)</f>
        <v>23</v>
      </c>
      <c r="B115" s="364">
        <v>11860</v>
      </c>
    </row>
    <row r="116" spans="1:2" ht="15" hidden="1">
      <c r="A116" s="54">
        <f>ROWS($A$1:A24)</f>
        <v>24</v>
      </c>
      <c r="B116" s="364">
        <v>12190</v>
      </c>
    </row>
    <row r="117" spans="1:2" ht="15" hidden="1">
      <c r="A117" s="54">
        <f>ROWS($A$1:A25)</f>
        <v>25</v>
      </c>
      <c r="B117" s="364">
        <v>12550</v>
      </c>
    </row>
    <row r="118" spans="1:2" ht="15" hidden="1">
      <c r="A118" s="54">
        <f>ROWS($A$1:A26)</f>
        <v>26</v>
      </c>
      <c r="B118" s="364">
        <v>12910</v>
      </c>
    </row>
    <row r="119" spans="1:2" ht="15" hidden="1">
      <c r="A119" s="54">
        <f>ROWS($A$1:A27)</f>
        <v>27</v>
      </c>
      <c r="B119" s="364">
        <v>13270</v>
      </c>
    </row>
    <row r="120" spans="1:2" ht="15" hidden="1">
      <c r="A120" s="54">
        <f>ROWS($A$1:A28)</f>
        <v>28</v>
      </c>
      <c r="B120" s="364">
        <v>13660</v>
      </c>
    </row>
    <row r="121" spans="1:2" ht="15.75" hidden="1" thickBot="1">
      <c r="A121" s="54">
        <f>ROWS($A$1:A29)</f>
        <v>29</v>
      </c>
      <c r="B121" s="365">
        <v>14050</v>
      </c>
    </row>
    <row r="122" spans="1:2" ht="15" hidden="1">
      <c r="A122" s="54">
        <f>ROWS($A$1:A30)</f>
        <v>30</v>
      </c>
      <c r="B122" s="366">
        <v>14440</v>
      </c>
    </row>
    <row r="123" spans="1:2" ht="15" hidden="1">
      <c r="A123" s="54">
        <f>ROWS($A$1:A31)</f>
        <v>31</v>
      </c>
      <c r="B123" s="366">
        <v>14860</v>
      </c>
    </row>
    <row r="124" spans="1:2" ht="15" hidden="1">
      <c r="A124" s="54">
        <f>ROWS($A$1:A32)</f>
        <v>32</v>
      </c>
      <c r="B124" s="366">
        <v>15280</v>
      </c>
    </row>
    <row r="125" spans="1:2" ht="15" hidden="1">
      <c r="A125" s="54">
        <f>ROWS($A$1:A33)</f>
        <v>33</v>
      </c>
      <c r="B125" s="366">
        <v>15700</v>
      </c>
    </row>
    <row r="126" spans="1:2" ht="15" hidden="1">
      <c r="A126" s="54">
        <f>ROWS($A$1:A34)</f>
        <v>34</v>
      </c>
      <c r="B126" s="366">
        <v>16150</v>
      </c>
    </row>
    <row r="127" spans="1:2" ht="15" hidden="1">
      <c r="A127" s="54">
        <f>ROWS($A$1:A35)</f>
        <v>35</v>
      </c>
      <c r="B127" s="366">
        <v>16600</v>
      </c>
    </row>
    <row r="128" spans="1:2" ht="15" hidden="1">
      <c r="A128" s="54">
        <f>ROWS($A$1:A36)</f>
        <v>36</v>
      </c>
      <c r="B128" s="366">
        <v>17050</v>
      </c>
    </row>
    <row r="129" spans="1:2" ht="15" hidden="1">
      <c r="A129" s="54">
        <f>ROWS($A$1:A36)</f>
        <v>36</v>
      </c>
      <c r="B129" s="366">
        <v>17540</v>
      </c>
    </row>
    <row r="130" spans="1:2" ht="15" hidden="1">
      <c r="A130" s="54">
        <f>ROWS($A$1:A36)</f>
        <v>36</v>
      </c>
      <c r="B130" s="366">
        <v>18030</v>
      </c>
    </row>
    <row r="131" spans="1:2" ht="15" hidden="1">
      <c r="A131" s="54">
        <f>ROWS($A$1:A36)</f>
        <v>36</v>
      </c>
      <c r="B131" s="366">
        <v>18520</v>
      </c>
    </row>
    <row r="132" spans="1:2" ht="15" hidden="1">
      <c r="A132" s="54">
        <f>ROWS($A$1:A36)</f>
        <v>36</v>
      </c>
      <c r="B132" s="366">
        <v>19050</v>
      </c>
    </row>
    <row r="133" spans="1:2" ht="15" hidden="1">
      <c r="A133" s="54">
        <f>ROWS($A$1:A36)</f>
        <v>36</v>
      </c>
      <c r="B133" s="366">
        <v>19580</v>
      </c>
    </row>
    <row r="134" spans="1:2" ht="15" hidden="1">
      <c r="A134" s="54">
        <f>ROWS($A$1:A36)</f>
        <v>36</v>
      </c>
      <c r="B134" s="366">
        <v>20110</v>
      </c>
    </row>
    <row r="135" spans="1:2" ht="15" hidden="1">
      <c r="A135" s="54">
        <f>ROWS($A$1:A36)</f>
        <v>36</v>
      </c>
      <c r="B135" s="366">
        <v>20680</v>
      </c>
    </row>
    <row r="136" spans="1:2" ht="15" hidden="1">
      <c r="A136" s="54">
        <f>ROWS($A$1:A37)</f>
        <v>37</v>
      </c>
      <c r="B136" s="366">
        <v>21250</v>
      </c>
    </row>
    <row r="137" spans="1:2" ht="15" hidden="1">
      <c r="A137" s="54">
        <f>ROWS($A$1:A38)</f>
        <v>38</v>
      </c>
      <c r="B137" s="366">
        <v>21820</v>
      </c>
    </row>
    <row r="138" spans="1:2" ht="15" hidden="1">
      <c r="A138" s="54">
        <f>ROWS($A$1:A39)</f>
        <v>39</v>
      </c>
      <c r="B138" s="366">
        <v>22430</v>
      </c>
    </row>
    <row r="139" spans="1:2" ht="15" hidden="1">
      <c r="A139" s="54">
        <f>ROWS($A$1:A40)</f>
        <v>40</v>
      </c>
      <c r="B139" s="366">
        <v>23040</v>
      </c>
    </row>
    <row r="140" spans="1:2" ht="15" hidden="1">
      <c r="A140" s="54">
        <f>ROWS($A$1:A41)</f>
        <v>41</v>
      </c>
      <c r="B140" s="366">
        <v>23650</v>
      </c>
    </row>
    <row r="141" spans="1:2" ht="15" hidden="1">
      <c r="A141" s="54">
        <f>ROWS($A$1:A42)</f>
        <v>42</v>
      </c>
      <c r="B141" s="366">
        <v>24300</v>
      </c>
    </row>
    <row r="142" spans="1:2" ht="15" hidden="1">
      <c r="A142" s="54">
        <f>ROWS($A$1:A43)</f>
        <v>43</v>
      </c>
      <c r="B142" s="366">
        <v>24950</v>
      </c>
    </row>
    <row r="143" spans="1:2" ht="15" hidden="1">
      <c r="A143" s="54">
        <f>ROWS($A$1:A44)</f>
        <v>44</v>
      </c>
      <c r="B143" s="366">
        <v>25600</v>
      </c>
    </row>
    <row r="144" spans="1:2" ht="15" hidden="1">
      <c r="A144" s="54">
        <f>ROWS($A$1:A45)</f>
        <v>45</v>
      </c>
      <c r="B144" s="366">
        <v>26300</v>
      </c>
    </row>
    <row r="145" spans="1:2" ht="15" hidden="1">
      <c r="A145" s="54">
        <f>ROWS($A$1:A46)</f>
        <v>46</v>
      </c>
      <c r="B145" s="366">
        <v>27000</v>
      </c>
    </row>
    <row r="146" spans="1:2" ht="15" hidden="1">
      <c r="A146" s="54">
        <f>ROWS($A$1:A47)</f>
        <v>47</v>
      </c>
      <c r="B146" s="366">
        <v>27700</v>
      </c>
    </row>
    <row r="147" spans="1:2" ht="15" hidden="1">
      <c r="A147" s="54">
        <f>ROWS($A$1:A48)</f>
        <v>48</v>
      </c>
      <c r="B147" s="366">
        <v>28450</v>
      </c>
    </row>
    <row r="148" spans="1:2" ht="15.75" hidden="1" thickBot="1">
      <c r="A148" s="54">
        <f>ROWS($A$1:A49)</f>
        <v>49</v>
      </c>
      <c r="B148" s="367">
        <v>29200</v>
      </c>
    </row>
    <row r="149" spans="1:2" ht="15" hidden="1">
      <c r="A149" s="54">
        <f>ROWS($A$1:A50)</f>
        <v>50</v>
      </c>
      <c r="B149" s="366">
        <v>29950</v>
      </c>
    </row>
    <row r="150" spans="1:2" ht="15" hidden="1">
      <c r="A150" s="54">
        <f>ROWS($A$1:A51)</f>
        <v>51</v>
      </c>
      <c r="B150" s="366">
        <v>30750</v>
      </c>
    </row>
    <row r="151" spans="1:2" ht="15" hidden="1">
      <c r="A151" s="54">
        <f>ROWS($A$1:A52)</f>
        <v>52</v>
      </c>
      <c r="B151" s="366">
        <v>31550</v>
      </c>
    </row>
    <row r="152" spans="1:2" ht="15" hidden="1">
      <c r="A152" s="54">
        <f>ROWS($A$1:A53)</f>
        <v>53</v>
      </c>
      <c r="B152" s="366">
        <v>32350</v>
      </c>
    </row>
    <row r="153" spans="1:2" ht="15" hidden="1">
      <c r="A153" s="54">
        <f>ROWS($A$1:A54)</f>
        <v>54</v>
      </c>
      <c r="B153" s="366">
        <v>33200</v>
      </c>
    </row>
    <row r="154" spans="1:2" ht="15" hidden="1">
      <c r="A154" s="54">
        <f>ROWS($A$1:A55)</f>
        <v>55</v>
      </c>
      <c r="B154" s="366">
        <v>34050</v>
      </c>
    </row>
    <row r="155" spans="1:2" ht="15" hidden="1">
      <c r="A155" s="54">
        <f>ROWS($A$1:A56)</f>
        <v>56</v>
      </c>
      <c r="B155" s="366">
        <v>34900</v>
      </c>
    </row>
    <row r="156" spans="1:2" ht="15" hidden="1">
      <c r="A156" s="54">
        <f>ROWS($A$1:A57)</f>
        <v>57</v>
      </c>
      <c r="B156" s="366">
        <v>35800</v>
      </c>
    </row>
    <row r="157" spans="1:2" ht="15" hidden="1">
      <c r="A157" s="54">
        <f>ROWS($A$1:A58)</f>
        <v>58</v>
      </c>
      <c r="B157" s="366">
        <v>36700</v>
      </c>
    </row>
    <row r="158" spans="1:2" ht="15" hidden="1">
      <c r="A158" s="54">
        <f>ROWS($A$1:A59)</f>
        <v>59</v>
      </c>
      <c r="B158" s="366">
        <v>37600</v>
      </c>
    </row>
    <row r="159" spans="1:2" ht="15" hidden="1">
      <c r="A159" s="54">
        <f>ROWS($A$1:A60)</f>
        <v>60</v>
      </c>
      <c r="B159" s="366">
        <v>38570</v>
      </c>
    </row>
    <row r="160" spans="1:2" ht="15" hidden="1">
      <c r="A160" s="54">
        <f>ROWS($A$1:A61)</f>
        <v>61</v>
      </c>
      <c r="B160" s="366">
        <v>39540</v>
      </c>
    </row>
    <row r="161" spans="1:2" ht="15" hidden="1">
      <c r="A161" s="54">
        <f>ROWS($A$1:A62)</f>
        <v>62</v>
      </c>
      <c r="B161" s="366">
        <v>40510</v>
      </c>
    </row>
    <row r="162" spans="1:2" ht="15" hidden="1">
      <c r="A162" s="54">
        <f>ROWS($A$1:A63)</f>
        <v>63</v>
      </c>
      <c r="B162" s="366">
        <v>41550</v>
      </c>
    </row>
    <row r="163" spans="1:2" ht="15" hidden="1">
      <c r="A163" s="54">
        <f>ROWS($A$1:A64)</f>
        <v>64</v>
      </c>
      <c r="B163" s="366">
        <v>42590</v>
      </c>
    </row>
    <row r="164" spans="1:2" ht="15" hidden="1">
      <c r="A164" s="54">
        <f>ROWS($A$1:A65)</f>
        <v>65</v>
      </c>
      <c r="B164" s="366">
        <v>43630</v>
      </c>
    </row>
    <row r="165" spans="1:2" ht="15" hidden="1">
      <c r="A165" s="54">
        <f>ROWS($A$1:A66)</f>
        <v>66</v>
      </c>
      <c r="B165" s="366">
        <v>44740</v>
      </c>
    </row>
    <row r="166" spans="1:2" ht="15" hidden="1">
      <c r="A166" s="54">
        <f>ROWS($A$1:A67)</f>
        <v>67</v>
      </c>
      <c r="B166" s="366">
        <v>45850</v>
      </c>
    </row>
    <row r="167" spans="1:2" ht="15" hidden="1">
      <c r="A167" s="54">
        <f>ROWS($A$1:A68)</f>
        <v>68</v>
      </c>
      <c r="B167" s="366">
        <v>46960</v>
      </c>
    </row>
    <row r="168" spans="1:2" ht="15" hidden="1">
      <c r="A168" s="54">
        <f>ROWS($A$1:A69)</f>
        <v>69</v>
      </c>
      <c r="B168" s="366">
        <v>48160</v>
      </c>
    </row>
    <row r="169" spans="1:2" ht="15" hidden="1">
      <c r="A169" s="54">
        <f>ROWS($A$1:A70)</f>
        <v>70</v>
      </c>
      <c r="B169" s="366">
        <v>49360</v>
      </c>
    </row>
    <row r="170" spans="1:2" ht="15" hidden="1">
      <c r="A170" s="54">
        <f>ROWS($A$1:A71)</f>
        <v>71</v>
      </c>
      <c r="B170" s="366">
        <v>50560</v>
      </c>
    </row>
    <row r="171" spans="1:2" ht="15" hidden="1">
      <c r="A171" s="54">
        <f>ROWS($A$1:A72)</f>
        <v>72</v>
      </c>
      <c r="B171" s="366">
        <v>51760</v>
      </c>
    </row>
    <row r="172" spans="1:2" ht="15" hidden="1">
      <c r="A172" s="54">
        <f>ROWS($A$1:A73)</f>
        <v>73</v>
      </c>
      <c r="B172" s="366">
        <v>53060</v>
      </c>
    </row>
    <row r="173" spans="1:2" ht="15" hidden="1">
      <c r="A173" s="54">
        <f>ROWS($A$1:A74)</f>
        <v>74</v>
      </c>
      <c r="B173" s="366">
        <v>54360</v>
      </c>
    </row>
    <row r="174" spans="1:2" ht="15" hidden="1">
      <c r="A174" s="54">
        <f>ROWS($A$1:A75)</f>
        <v>75</v>
      </c>
      <c r="B174" s="366">
        <v>55660</v>
      </c>
    </row>
    <row r="175" ht="15" hidden="1"/>
    <row r="176" ht="15" hidden="1"/>
  </sheetData>
  <sheetProtection/>
  <mergeCells count="27">
    <mergeCell ref="A6:O6"/>
    <mergeCell ref="F38:I38"/>
    <mergeCell ref="J38:O45"/>
    <mergeCell ref="B39:C39"/>
    <mergeCell ref="D39:E39"/>
    <mergeCell ref="G39:H39"/>
    <mergeCell ref="B41:C41"/>
    <mergeCell ref="D41:E41"/>
    <mergeCell ref="B42:C42"/>
    <mergeCell ref="D42:E42"/>
    <mergeCell ref="A1:O2"/>
    <mergeCell ref="A3:G3"/>
    <mergeCell ref="J3:O3"/>
    <mergeCell ref="A4:O4"/>
    <mergeCell ref="A5:O5"/>
    <mergeCell ref="G40:H40"/>
    <mergeCell ref="K34:O34"/>
    <mergeCell ref="A35:O35"/>
    <mergeCell ref="A36:O36"/>
    <mergeCell ref="A37:O37"/>
    <mergeCell ref="A38:E38"/>
    <mergeCell ref="B43:C43"/>
    <mergeCell ref="D43:E43"/>
    <mergeCell ref="D44:E44"/>
    <mergeCell ref="D45:E45"/>
    <mergeCell ref="B40:C40"/>
    <mergeCell ref="D40:E40"/>
  </mergeCells>
  <hyperlinks>
    <hyperlink ref="K34" r:id="rId1" display="www.apteacher.net"/>
    <hyperlink ref="J38" r:id="rId2" display="www.apteacher.net"/>
  </hyperlinks>
  <printOptions/>
  <pageMargins left="0.7" right="0.7" top="0.75" bottom="0.75" header="0.3" footer="0.3"/>
  <pageSetup fitToHeight="0" fitToWidth="1" horizontalDpi="600" verticalDpi="600" orientation="portrait" paperSize="9" scale="9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admin</cp:lastModifiedBy>
  <cp:lastPrinted>2012-12-15T15:27:04Z</cp:lastPrinted>
  <dcterms:created xsi:type="dcterms:W3CDTF">2011-11-20T13:30:43Z</dcterms:created>
  <dcterms:modified xsi:type="dcterms:W3CDTF">2013-01-05T16:02:38Z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